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<sst xmlns="http://schemas.openxmlformats.org/spreadsheetml/2006/main" count="156" uniqueCount="58">
  <si>
    <t>ʋ</t>
  </si>
  <si>
    <t>ml 0f M</t>
  </si>
  <si>
    <t>Ep,a</t>
  </si>
  <si>
    <t>Ep,c</t>
  </si>
  <si>
    <t xml:space="preserve">(-)Ip,a </t>
  </si>
  <si>
    <t>Ip,c</t>
  </si>
  <si>
    <t>Epc/2</t>
  </si>
  <si>
    <t>Ml of L</t>
  </si>
  <si>
    <t>ml added from Metal</t>
  </si>
  <si>
    <t xml:space="preserve">volt </t>
  </si>
  <si>
    <t>amp</t>
  </si>
  <si>
    <t>volt</t>
  </si>
  <si>
    <t>Γ (mol/cm2)</t>
  </si>
  <si>
    <t>T</t>
  </si>
  <si>
    <t>[M]</t>
  </si>
  <si>
    <t>[L]</t>
  </si>
  <si>
    <t>∆Ep</t>
  </si>
  <si>
    <t>∆Ep (mV)</t>
  </si>
  <si>
    <t>Ip,a/Ip,c</t>
  </si>
  <si>
    <r>
      <t>E</t>
    </r>
    <r>
      <rPr>
        <sz val="14"/>
        <color indexed="8"/>
        <rFont val="Calibri"/>
        <family val="2"/>
      </rPr>
      <t>˚</t>
    </r>
  </si>
  <si>
    <t>n</t>
  </si>
  <si>
    <t>Da 1/2</t>
  </si>
  <si>
    <t>Da</t>
  </si>
  <si>
    <t>Dc 1/2</t>
  </si>
  <si>
    <t>Dc</t>
  </si>
  <si>
    <t>γ</t>
  </si>
  <si>
    <t>a</t>
  </si>
  <si>
    <t>Epc-Epc/2</t>
  </si>
  <si>
    <r>
      <rPr>
        <sz val="14"/>
        <color indexed="8"/>
        <rFont val="Calibri"/>
        <family val="2"/>
      </rPr>
      <t>αn</t>
    </r>
    <r>
      <rPr>
        <sz val="8"/>
        <color indexed="8"/>
        <rFont val="Calibri"/>
        <family val="2"/>
      </rPr>
      <t>a</t>
    </r>
    <r>
      <rPr>
        <sz val="11"/>
        <color indexed="8"/>
        <rFont val="Calibri"/>
        <family val="2"/>
      </rPr>
      <t>c</t>
    </r>
  </si>
  <si>
    <r>
      <rPr>
        <sz val="14"/>
        <color indexed="8"/>
        <rFont val="Arial"/>
        <family val="2"/>
      </rPr>
      <t>α</t>
    </r>
    <r>
      <rPr>
        <sz val="8"/>
        <color indexed="8"/>
        <rFont val="Arial"/>
        <family val="2"/>
      </rPr>
      <t>c</t>
    </r>
  </si>
  <si>
    <t>Ks C</t>
  </si>
  <si>
    <t>Γ c</t>
  </si>
  <si>
    <t>(+) Qc</t>
  </si>
  <si>
    <t>Γ a</t>
  </si>
  <si>
    <t xml:space="preserve">  (-) Q a</t>
  </si>
  <si>
    <t xml:space="preserve">Effect of different Scan rate on Metal </t>
  </si>
  <si>
    <t>ν^(1/2)</t>
  </si>
  <si>
    <r>
      <rPr>
        <sz val="14"/>
        <color indexed="8"/>
        <rFont val="Calibri"/>
        <family val="2"/>
      </rPr>
      <t>αn</t>
    </r>
    <r>
      <rPr>
        <sz val="8"/>
        <color indexed="8"/>
        <rFont val="Calibri"/>
        <family val="2"/>
      </rPr>
      <t>a</t>
    </r>
  </si>
  <si>
    <t>α</t>
  </si>
  <si>
    <t>Metal+Ligand</t>
  </si>
  <si>
    <t xml:space="preserve">Effect of different Scan rate  </t>
  </si>
  <si>
    <t>E1/2 M</t>
  </si>
  <si>
    <t>E1/2 C</t>
  </si>
  <si>
    <t xml:space="preserve">Metal  </t>
  </si>
  <si>
    <t xml:space="preserve">Complex </t>
  </si>
  <si>
    <t>T (K)</t>
  </si>
  <si>
    <t>(Ep,a)M</t>
  </si>
  <si>
    <t>(Ep,a)C</t>
  </si>
  <si>
    <r>
      <t>∆</t>
    </r>
    <r>
      <rPr>
        <sz val="11"/>
        <color indexed="8"/>
        <rFont val="Calibri"/>
        <family val="2"/>
      </rPr>
      <t>E mv</t>
    </r>
  </si>
  <si>
    <t>j</t>
  </si>
  <si>
    <t>Log[L]</t>
  </si>
  <si>
    <r>
      <t xml:space="preserve">Log </t>
    </r>
    <r>
      <rPr>
        <sz val="11"/>
        <color indexed="8"/>
        <rFont val="Calibri"/>
        <family val="2"/>
      </rPr>
      <t>βj</t>
    </r>
  </si>
  <si>
    <t>βj</t>
  </si>
  <si>
    <r>
      <t>∆</t>
    </r>
    <r>
      <rPr>
        <sz val="11"/>
        <color indexed="8"/>
        <rFont val="Calibri"/>
        <family val="2"/>
      </rPr>
      <t>G (J/mol)</t>
    </r>
  </si>
  <si>
    <r>
      <t>∆</t>
    </r>
    <r>
      <rPr>
        <sz val="11"/>
        <color indexed="8"/>
        <rFont val="Calibri"/>
        <family val="2"/>
      </rPr>
      <t>G (KJ/mol)</t>
    </r>
  </si>
  <si>
    <t xml:space="preserve"> </t>
  </si>
  <si>
    <t>Stability constant for Complex</t>
  </si>
  <si>
    <t>First wave (HCl)</t>
  </si>
</sst>
</file>

<file path=xl/styles.xml><?xml version="1.0" encoding="utf-8"?>
<styleSheet xmlns="http://schemas.openxmlformats.org/spreadsheetml/2006/main">
  <numFmts count="10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0;[Red]0"/>
    <numFmt numFmtId="165" formatCode="0.000"/>
  </numFmts>
  <fonts count="5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u val="single"/>
      <sz val="20"/>
      <color indexed="8"/>
      <name val="Arial"/>
      <family val="2"/>
    </font>
    <font>
      <b/>
      <u val="single"/>
      <sz val="14"/>
      <color indexed="8"/>
      <name val="Arial"/>
      <family val="2"/>
    </font>
    <font>
      <sz val="11"/>
      <color indexed="8"/>
      <name val="Times New Roman"/>
      <family val="1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22"/>
      <color indexed="6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sz val="14"/>
      <color theme="1"/>
      <name val="Calibri"/>
      <family val="2"/>
    </font>
    <font>
      <b/>
      <sz val="11"/>
      <name val="Calibri"/>
      <family val="2"/>
    </font>
    <font>
      <b/>
      <u val="single"/>
      <sz val="20"/>
      <color theme="1"/>
      <name val="Calibri"/>
      <family val="2"/>
    </font>
    <font>
      <b/>
      <u val="single"/>
      <sz val="14"/>
      <color theme="1"/>
      <name val="Calibri"/>
      <family val="2"/>
    </font>
    <font>
      <sz val="11"/>
      <color theme="1"/>
      <name val="Times New Roman"/>
      <family val="1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22"/>
      <color rgb="FFC0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B2F0F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4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47" fillId="35" borderId="0" xfId="0" applyNumberFormat="1" applyFont="1" applyFill="1" applyAlignment="1">
      <alignment horizontal="center"/>
    </xf>
    <xf numFmtId="11" fontId="47" fillId="35" borderId="0" xfId="0" applyNumberFormat="1" applyFont="1" applyFill="1" applyAlignment="1">
      <alignment horizontal="center"/>
    </xf>
    <xf numFmtId="0" fontId="0" fillId="33" borderId="11" xfId="0" applyFill="1" applyBorder="1" applyAlignment="1">
      <alignment horizontal="center" vertical="center"/>
    </xf>
    <xf numFmtId="0" fontId="0" fillId="36" borderId="0" xfId="0" applyFill="1" applyBorder="1" applyAlignment="1">
      <alignment horizontal="center" vertical="center"/>
    </xf>
    <xf numFmtId="0" fontId="45" fillId="37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11" fontId="45" fillId="35" borderId="0" xfId="0" applyNumberFormat="1" applyFont="1" applyFill="1" applyAlignment="1">
      <alignment horizontal="center"/>
    </xf>
    <xf numFmtId="11" fontId="47" fillId="35" borderId="10" xfId="0" applyNumberFormat="1" applyFont="1" applyFill="1" applyBorder="1" applyAlignment="1">
      <alignment horizontal="center" vertical="center"/>
    </xf>
    <xf numFmtId="11" fontId="45" fillId="35" borderId="1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0" fillId="8" borderId="10" xfId="0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11" fontId="0" fillId="8" borderId="10" xfId="0" applyNumberFormat="1" applyFill="1" applyBorder="1" applyAlignment="1">
      <alignment horizontal="center" vertical="center"/>
    </xf>
    <xf numFmtId="11" fontId="0" fillId="16" borderId="10" xfId="0" applyNumberFormat="1" applyFill="1" applyBorder="1" applyAlignment="1">
      <alignment horizontal="center" vertical="center"/>
    </xf>
    <xf numFmtId="11" fontId="0" fillId="34" borderId="10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5" borderId="0" xfId="0" applyFont="1" applyFill="1" applyAlignment="1">
      <alignment vertical="center"/>
    </xf>
    <xf numFmtId="0" fontId="0" fillId="35" borderId="12" xfId="0" applyFill="1" applyBorder="1" applyAlignment="1">
      <alignment vertical="center"/>
    </xf>
    <xf numFmtId="0" fontId="0" fillId="35" borderId="12" xfId="0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7" fillId="37" borderId="10" xfId="0" applyFont="1" applyFill="1" applyBorder="1" applyAlignment="1">
      <alignment horizontal="center"/>
    </xf>
    <xf numFmtId="11" fontId="49" fillId="37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11" fontId="47" fillId="35" borderId="0" xfId="0" applyNumberFormat="1" applyFont="1" applyFill="1" applyAlignment="1">
      <alignment/>
    </xf>
    <xf numFmtId="0" fontId="51" fillId="35" borderId="12" xfId="0" applyFont="1" applyFill="1" applyBorder="1" applyAlignment="1">
      <alignment horizontal="center" vertical="center"/>
    </xf>
    <xf numFmtId="0" fontId="51" fillId="35" borderId="12" xfId="0" applyFont="1" applyFill="1" applyBorder="1" applyAlignment="1">
      <alignment vertical="center"/>
    </xf>
    <xf numFmtId="0" fontId="0" fillId="38" borderId="10" xfId="0" applyFill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vertical="center"/>
    </xf>
    <xf numFmtId="0" fontId="0" fillId="14" borderId="0" xfId="0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11" fontId="0" fillId="40" borderId="10" xfId="0" applyNumberFormat="1" applyFill="1" applyBorder="1" applyAlignment="1">
      <alignment horizontal="center" vertical="center"/>
    </xf>
    <xf numFmtId="11" fontId="0" fillId="0" borderId="10" xfId="0" applyNumberFormat="1" applyBorder="1" applyAlignment="1">
      <alignment horizontal="center" vertical="center"/>
    </xf>
    <xf numFmtId="164" fontId="0" fillId="37" borderId="10" xfId="0" applyNumberFormat="1" applyFont="1" applyFill="1" applyBorder="1" applyAlignment="1">
      <alignment horizontal="center" vertical="center"/>
    </xf>
    <xf numFmtId="0" fontId="0" fillId="41" borderId="10" xfId="0" applyNumberFormat="1" applyFill="1" applyBorder="1" applyAlignment="1">
      <alignment horizontal="center" vertical="center"/>
    </xf>
    <xf numFmtId="0" fontId="0" fillId="41" borderId="10" xfId="0" applyFill="1" applyBorder="1" applyAlignment="1">
      <alignment horizontal="center" vertical="center"/>
    </xf>
    <xf numFmtId="0" fontId="0" fillId="42" borderId="0" xfId="0" applyFill="1" applyAlignment="1">
      <alignment vertical="center"/>
    </xf>
    <xf numFmtId="0" fontId="0" fillId="12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37" borderId="12" xfId="0" applyFont="1" applyFill="1" applyBorder="1" applyAlignment="1">
      <alignment vertical="center"/>
    </xf>
    <xf numFmtId="0" fontId="0" fillId="37" borderId="14" xfId="0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11" fontId="47" fillId="34" borderId="10" xfId="0" applyNumberFormat="1" applyFont="1" applyFill="1" applyBorder="1" applyAlignment="1">
      <alignment horizontal="center" vertical="center"/>
    </xf>
    <xf numFmtId="11" fontId="0" fillId="16" borderId="12" xfId="0" applyNumberFormat="1" applyFill="1" applyBorder="1" applyAlignment="1">
      <alignment horizontal="center" vertical="center"/>
    </xf>
    <xf numFmtId="11" fontId="45" fillId="37" borderId="0" xfId="0" applyNumberFormat="1" applyFont="1" applyFill="1" applyAlignment="1">
      <alignment/>
    </xf>
    <xf numFmtId="11" fontId="45" fillId="37" borderId="10" xfId="0" applyNumberFormat="1" applyFont="1" applyFill="1" applyBorder="1" applyAlignment="1">
      <alignment horizontal="center" vertical="center"/>
    </xf>
    <xf numFmtId="11" fontId="47" fillId="37" borderId="0" xfId="0" applyNumberFormat="1" applyFont="1" applyFill="1" applyAlignment="1">
      <alignment/>
    </xf>
    <xf numFmtId="0" fontId="55" fillId="0" borderId="0" xfId="0" applyFont="1" applyAlignment="1">
      <alignment/>
    </xf>
    <xf numFmtId="0" fontId="0" fillId="43" borderId="0" xfId="0" applyFill="1" applyBorder="1" applyAlignment="1">
      <alignment horizontal="center" vertical="center"/>
    </xf>
    <xf numFmtId="0" fontId="47" fillId="43" borderId="10" xfId="0" applyFont="1" applyFill="1" applyBorder="1" applyAlignment="1">
      <alignment horizontal="center"/>
    </xf>
    <xf numFmtId="11" fontId="0" fillId="43" borderId="10" xfId="0" applyNumberFormat="1" applyFill="1" applyBorder="1" applyAlignment="1">
      <alignment horizontal="center" vertical="center"/>
    </xf>
    <xf numFmtId="0" fontId="0" fillId="16" borderId="12" xfId="0" applyNumberFormat="1" applyFill="1" applyBorder="1" applyAlignment="1">
      <alignment horizontal="center" vertical="center"/>
    </xf>
    <xf numFmtId="165" fontId="47" fillId="35" borderId="10" xfId="0" applyNumberFormat="1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11" fontId="0" fillId="16" borderId="12" xfId="0" applyNumberFormat="1" applyFill="1" applyBorder="1" applyAlignment="1">
      <alignment horizontal="center" vertical="center"/>
    </xf>
    <xf numFmtId="11" fontId="0" fillId="16" borderId="15" xfId="0" applyNumberFormat="1" applyFill="1" applyBorder="1" applyAlignment="1">
      <alignment horizontal="center" vertical="center"/>
    </xf>
    <xf numFmtId="0" fontId="0" fillId="42" borderId="0" xfId="0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2"/>
  <sheetViews>
    <sheetView tabSelected="1" zoomScalePageLayoutView="0" workbookViewId="0" topLeftCell="A40">
      <selection activeCell="X42" sqref="X42:Z42"/>
    </sheetView>
  </sheetViews>
  <sheetFormatPr defaultColWidth="9.140625" defaultRowHeight="15"/>
  <cols>
    <col min="16" max="16" width="11.28125" style="0" bestFit="1" customWidth="1"/>
    <col min="19" max="19" width="12.28125" style="0" bestFit="1" customWidth="1"/>
    <col min="27" max="28" width="12.28125" style="0" bestFit="1" customWidth="1"/>
    <col min="29" max="29" width="11.28125" style="0" bestFit="1" customWidth="1"/>
    <col min="30" max="30" width="12.28125" style="0" bestFit="1" customWidth="1"/>
  </cols>
  <sheetData>
    <row r="1" spans="1:32" ht="15">
      <c r="A1" s="15"/>
      <c r="B1" s="15"/>
      <c r="C1" s="15"/>
      <c r="D1" s="15"/>
      <c r="E1" s="15"/>
      <c r="F1" s="15"/>
      <c r="G1" s="15"/>
      <c r="H1" s="15"/>
      <c r="I1" s="15"/>
      <c r="J1" s="16"/>
      <c r="K1" s="15"/>
      <c r="L1" s="16"/>
      <c r="M1" s="15"/>
      <c r="N1" s="15"/>
      <c r="O1" s="15"/>
      <c r="P1" s="16"/>
      <c r="Q1" s="15"/>
      <c r="R1" s="16"/>
      <c r="S1" s="16"/>
      <c r="T1" s="15"/>
      <c r="U1" s="16"/>
      <c r="V1" s="16"/>
      <c r="W1" s="16"/>
      <c r="X1" s="16"/>
      <c r="Y1" s="15"/>
      <c r="Z1" s="15"/>
      <c r="AA1" s="15"/>
      <c r="AB1" s="16"/>
      <c r="AC1" s="16"/>
      <c r="AD1" s="17"/>
      <c r="AE1" s="16"/>
      <c r="AF1" s="16"/>
    </row>
    <row r="2" spans="1:32" ht="18">
      <c r="A2" s="15"/>
      <c r="B2" s="15"/>
      <c r="C2" s="15"/>
      <c r="D2" s="15"/>
      <c r="E2" s="15"/>
      <c r="F2" s="15"/>
      <c r="G2" s="15"/>
      <c r="H2" s="69" t="s">
        <v>9</v>
      </c>
      <c r="I2" s="69"/>
      <c r="J2" s="70"/>
      <c r="K2" s="15"/>
      <c r="L2" s="71" t="s">
        <v>10</v>
      </c>
      <c r="M2" s="72"/>
      <c r="N2" s="15"/>
      <c r="O2" s="3" t="s">
        <v>11</v>
      </c>
      <c r="P2" s="18"/>
      <c r="Q2" s="15"/>
      <c r="R2" s="16"/>
      <c r="S2" s="16"/>
      <c r="T2" s="15"/>
      <c r="U2" s="16"/>
      <c r="V2" s="16"/>
      <c r="W2" s="16"/>
      <c r="X2" s="16"/>
      <c r="Y2" s="15"/>
      <c r="Z2" s="15"/>
      <c r="AA2" s="15"/>
      <c r="AB2" s="16"/>
      <c r="AC2" s="1" t="s">
        <v>12</v>
      </c>
      <c r="AD2" s="16"/>
      <c r="AE2" s="15"/>
      <c r="AF2" s="16"/>
    </row>
    <row r="3" spans="1:32" ht="18.75">
      <c r="A3" s="1" t="s">
        <v>0</v>
      </c>
      <c r="B3" s="1" t="s">
        <v>13</v>
      </c>
      <c r="C3" s="1" t="s">
        <v>13</v>
      </c>
      <c r="D3" s="1" t="s">
        <v>1</v>
      </c>
      <c r="E3" s="1" t="s">
        <v>14</v>
      </c>
      <c r="F3" s="6" t="s">
        <v>7</v>
      </c>
      <c r="G3" s="6" t="s">
        <v>15</v>
      </c>
      <c r="H3" s="1" t="s">
        <v>2</v>
      </c>
      <c r="I3" s="1" t="s">
        <v>3</v>
      </c>
      <c r="J3" s="1" t="s">
        <v>16</v>
      </c>
      <c r="K3" s="1" t="s">
        <v>17</v>
      </c>
      <c r="L3" s="1" t="s">
        <v>4</v>
      </c>
      <c r="M3" s="1" t="s">
        <v>5</v>
      </c>
      <c r="N3" s="1" t="s">
        <v>18</v>
      </c>
      <c r="O3" s="1" t="s">
        <v>19</v>
      </c>
      <c r="P3" s="1" t="s">
        <v>20</v>
      </c>
      <c r="Q3" s="1" t="s">
        <v>21</v>
      </c>
      <c r="R3" s="1" t="s">
        <v>22</v>
      </c>
      <c r="S3" s="1" t="s">
        <v>23</v>
      </c>
      <c r="T3" s="1" t="s">
        <v>24</v>
      </c>
      <c r="U3" s="1" t="s">
        <v>25</v>
      </c>
      <c r="V3" s="1" t="s">
        <v>26</v>
      </c>
      <c r="W3" s="1" t="s">
        <v>6</v>
      </c>
      <c r="X3" s="1" t="s">
        <v>27</v>
      </c>
      <c r="Y3" s="1" t="s">
        <v>28</v>
      </c>
      <c r="Z3" s="1" t="s">
        <v>29</v>
      </c>
      <c r="AA3" s="1" t="s">
        <v>30</v>
      </c>
      <c r="AB3" s="1" t="s">
        <v>31</v>
      </c>
      <c r="AC3" s="1" t="s">
        <v>32</v>
      </c>
      <c r="AD3" s="1" t="s">
        <v>33</v>
      </c>
      <c r="AE3" s="1" t="s">
        <v>34</v>
      </c>
      <c r="AF3" s="15"/>
    </row>
    <row r="4" spans="1:32" ht="15">
      <c r="A4" s="2">
        <v>0.1</v>
      </c>
      <c r="B4" s="14">
        <v>21.7</v>
      </c>
      <c r="C4" s="19">
        <f>273.15+B4</f>
        <v>294.84999999999997</v>
      </c>
      <c r="D4" s="29">
        <v>0.2</v>
      </c>
      <c r="E4" s="67">
        <f>(D4*0.1)/(30+D4)</f>
        <v>0.0006622516556291392</v>
      </c>
      <c r="F4" s="7"/>
      <c r="G4" s="20"/>
      <c r="H4" s="68">
        <v>0.246220135</v>
      </c>
      <c r="I4" s="68">
        <v>0.10459428</v>
      </c>
      <c r="J4" s="21">
        <f>H4-I4</f>
        <v>0.14162585500000002</v>
      </c>
      <c r="K4" s="21">
        <f>J4*1000</f>
        <v>141.62585500000003</v>
      </c>
      <c r="L4" s="12">
        <v>8.236736899999999E-07</v>
      </c>
      <c r="M4" s="12">
        <v>6.1775527E-07</v>
      </c>
      <c r="N4" s="21">
        <f>L4/M4</f>
        <v>1.333333327937453</v>
      </c>
      <c r="O4" s="58">
        <f>(H4+I4)/2</f>
        <v>0.1754072075</v>
      </c>
      <c r="P4" s="2">
        <v>2</v>
      </c>
      <c r="Q4" s="22">
        <f>L4*C4^(1/2)*8.314^(1/2)/(0.4463*P4*96485.33*0.00785*E4*(P4*A4*96485.33)^(1/2))</f>
        <v>6.556985909008965E-07</v>
      </c>
      <c r="R4" s="23">
        <f>Q4^2</f>
        <v>4.2994064210942125E-13</v>
      </c>
      <c r="S4" s="21">
        <f>M4*C4^(1/2)*8.314^(1/2)/(0.4463*P4*96485.33*0.00785*E4*(P4*A4*96485.33)^(1/2))</f>
        <v>4.917739451658372E-07</v>
      </c>
      <c r="T4" s="22">
        <f>S4^2</f>
        <v>2.418416131439719E-13</v>
      </c>
      <c r="U4" s="3">
        <f>(R4/T4)^(1/2)</f>
        <v>1.3333333279374535</v>
      </c>
      <c r="V4" s="2">
        <f>(P4*96485.33)/(8.314*C4)</f>
        <v>78.71910177720504</v>
      </c>
      <c r="W4" s="62">
        <v>0.136392109</v>
      </c>
      <c r="X4" s="23">
        <f>-(I4-W4)</f>
        <v>0.031797829000000014</v>
      </c>
      <c r="Y4" s="2">
        <f aca="true" t="shared" si="0" ref="Y4:Y13">(1.857*8.314*C4)/(X4*96485.33)</f>
        <v>1.4837621899869458</v>
      </c>
      <c r="Z4" s="2">
        <v>0.5</v>
      </c>
      <c r="AA4" s="22">
        <f aca="true" t="shared" si="1" ref="AA4:AA13">2.18*(((T4*Y4*96485.33*A4)/(8.314*C4))^(1/2))*EXP((((Z4)^2)*P4*96485.33*J4)/(8.314*C4))</f>
        <v>4.206100215813886E-05</v>
      </c>
      <c r="AB4" s="2">
        <f>(M4*4*8.314*C4)/((P4)^2*(96485.33^2)*0.00785*A4)</f>
        <v>2.0722177118282168E-10</v>
      </c>
      <c r="AC4" s="22">
        <f>P4*AB4*0.00785*96485.33</f>
        <v>3.1390361731941694E-07</v>
      </c>
      <c r="AD4" s="2">
        <f>(L4*4*8.314*C4)/((P4)^2*96485.33^2*0.00785*A4)</f>
        <v>2.76295693792285E-10</v>
      </c>
      <c r="AE4" s="22">
        <f>P4*AD4*0.00785*96485.33</f>
        <v>4.185381547321028E-07</v>
      </c>
      <c r="AF4" s="15"/>
    </row>
    <row r="5" spans="1:32" ht="15">
      <c r="A5" s="2">
        <v>0.1</v>
      </c>
      <c r="B5" s="14">
        <v>21.7</v>
      </c>
      <c r="C5" s="19">
        <f aca="true" t="shared" si="2" ref="C5:C13">273.15+B5</f>
        <v>294.84999999999997</v>
      </c>
      <c r="D5" s="29">
        <v>0.4</v>
      </c>
      <c r="E5" s="67">
        <f>(D5*0.1)/(30+D5)</f>
        <v>0.001315789473684211</v>
      </c>
      <c r="F5" s="7"/>
      <c r="G5" s="20"/>
      <c r="H5" s="68">
        <v>0.242747921</v>
      </c>
      <c r="I5" s="68">
        <v>0.086040997</v>
      </c>
      <c r="J5" s="21">
        <f aca="true" t="shared" si="3" ref="J5:J13">H5-I5</f>
        <v>0.15670692400000003</v>
      </c>
      <c r="K5" s="21">
        <f aca="true" t="shared" si="4" ref="K5:K13">J5*1000</f>
        <v>156.70692400000001</v>
      </c>
      <c r="L5" s="12">
        <v>1.4967103999999998E-06</v>
      </c>
      <c r="M5" s="12">
        <v>1.3304092499999995E-06</v>
      </c>
      <c r="N5" s="21">
        <f aca="true" t="shared" si="5" ref="N5:N13">L5/M5</f>
        <v>1.1249999953021979</v>
      </c>
      <c r="O5" s="58">
        <f aca="true" t="shared" si="6" ref="O5:O13">(H5+I5)/2</f>
        <v>0.164394459</v>
      </c>
      <c r="P5" s="2">
        <v>2</v>
      </c>
      <c r="Q5" s="22">
        <f aca="true" t="shared" si="7" ref="Q5:Q13">L5*C5^(1/2)*8.314^(1/2)/(0.4463*P5*96485.33*0.00785*E5*(P5*A5*96485.33)^(1/2))</f>
        <v>5.996854031794599E-07</v>
      </c>
      <c r="R5" s="23">
        <f aca="true" t="shared" si="8" ref="R5:R13">Q5^2</f>
        <v>3.596225827865113E-13</v>
      </c>
      <c r="S5" s="21">
        <f aca="true" t="shared" si="9" ref="S5:S13">M5*C5^(1/2)*8.314^(1/2)/(0.4463*P5*96485.33*0.00785*E5*(P5*A5*96485.33)^(1/2))</f>
        <v>5.33053693941014E-07</v>
      </c>
      <c r="T5" s="22">
        <f aca="true" t="shared" si="10" ref="T5:T13">S5^2</f>
        <v>2.841462406241602E-13</v>
      </c>
      <c r="U5" s="3">
        <f aca="true" t="shared" si="11" ref="U5:U13">(R5/T5)^(1/2)</f>
        <v>1.1249999953021979</v>
      </c>
      <c r="V5" s="2">
        <f aca="true" t="shared" si="12" ref="V5:V13">(P5*96485.33)/(8.314*C5)</f>
        <v>78.71910177720504</v>
      </c>
      <c r="W5" s="62">
        <v>0.116261834</v>
      </c>
      <c r="X5" s="23">
        <f aca="true" t="shared" si="13" ref="X5:X13">-(I5-W5)</f>
        <v>0.030220837</v>
      </c>
      <c r="Y5" s="2">
        <f t="shared" si="0"/>
        <v>1.561188275290669</v>
      </c>
      <c r="Z5" s="2">
        <v>0.5</v>
      </c>
      <c r="AA5" s="22">
        <f t="shared" si="1"/>
        <v>6.292535850878852E-05</v>
      </c>
      <c r="AB5" s="2">
        <f aca="true" t="shared" si="14" ref="AB5:AB13">(M5*4*8.314*C5)/((P5)^2*(96485.33^2)*0.00785*A5)</f>
        <v>4.462766641926167E-10</v>
      </c>
      <c r="AC5" s="22">
        <f aca="true" t="shared" si="15" ref="AC5:AC13">P5*AB5*0.00785*96485.33</f>
        <v>6.760286740900037E-07</v>
      </c>
      <c r="AD5" s="2">
        <f aca="true" t="shared" si="16" ref="AD5:AD13">(L5*4*8.314*C5)/((P5)^2*96485.33^2*0.00785*A5)</f>
        <v>5.020612451201742E-10</v>
      </c>
      <c r="AE5" s="22">
        <f aca="true" t="shared" si="17" ref="AE5:AE13">P5*AD5*0.00785*96485.33</f>
        <v>7.605322551754051E-07</v>
      </c>
      <c r="AF5" s="15"/>
    </row>
    <row r="6" spans="1:32" ht="15">
      <c r="A6" s="2">
        <v>0.1</v>
      </c>
      <c r="B6" s="14">
        <v>21.7</v>
      </c>
      <c r="C6" s="19">
        <f t="shared" si="2"/>
        <v>294.84999999999997</v>
      </c>
      <c r="D6" s="29">
        <v>0.6</v>
      </c>
      <c r="E6" s="67">
        <f>(D6*0.1)/(30+D6)</f>
        <v>0.00196078431372549</v>
      </c>
      <c r="F6" s="7"/>
      <c r="G6" s="20"/>
      <c r="H6" s="68">
        <v>0.244977658</v>
      </c>
      <c r="I6" s="68">
        <v>0.0792708932</v>
      </c>
      <c r="J6" s="21">
        <f t="shared" si="3"/>
        <v>0.1657067648</v>
      </c>
      <c r="K6" s="21">
        <f t="shared" si="4"/>
        <v>165.7067648</v>
      </c>
      <c r="L6" s="12">
        <v>2.01637697E-06</v>
      </c>
      <c r="M6" s="12">
        <v>3.16859239E-06</v>
      </c>
      <c r="N6" s="21">
        <f t="shared" si="5"/>
        <v>0.6363636346421951</v>
      </c>
      <c r="O6" s="58">
        <f t="shared" si="6"/>
        <v>0.16212427559999998</v>
      </c>
      <c r="P6" s="2">
        <v>2</v>
      </c>
      <c r="Q6" s="22">
        <f t="shared" si="7"/>
        <v>5.421431986954052E-07</v>
      </c>
      <c r="R6" s="23">
        <f t="shared" si="8"/>
        <v>2.9391924789168564E-13</v>
      </c>
      <c r="S6" s="21">
        <f t="shared" si="9"/>
        <v>8.519393145402366E-07</v>
      </c>
      <c r="T6" s="22">
        <f t="shared" si="10"/>
        <v>7.258005956592882E-13</v>
      </c>
      <c r="U6" s="3">
        <f t="shared" si="11"/>
        <v>0.636363634642195</v>
      </c>
      <c r="V6" s="2">
        <f t="shared" si="12"/>
        <v>78.71910177720504</v>
      </c>
      <c r="W6" s="62">
        <v>0.107275627</v>
      </c>
      <c r="X6" s="23">
        <f t="shared" si="13"/>
        <v>0.0280047338</v>
      </c>
      <c r="Y6" s="2">
        <f t="shared" si="0"/>
        <v>1.6847300435282277</v>
      </c>
      <c r="Z6" s="2">
        <v>0.5</v>
      </c>
      <c r="AA6" s="22">
        <f t="shared" si="1"/>
        <v>0.00012471564052049983</v>
      </c>
      <c r="AB6" s="2">
        <f t="shared" si="14"/>
        <v>1.0628825994672779E-09</v>
      </c>
      <c r="AC6" s="22">
        <f t="shared" si="15"/>
        <v>1.6100754802654727E-06</v>
      </c>
      <c r="AD6" s="2">
        <f t="shared" si="16"/>
        <v>6.763798341949415E-10</v>
      </c>
      <c r="AE6" s="22">
        <f t="shared" si="17"/>
        <v>1.024593484670014E-06</v>
      </c>
      <c r="AF6" s="15"/>
    </row>
    <row r="7" spans="1:32" ht="15">
      <c r="A7" s="2">
        <v>0.1</v>
      </c>
      <c r="B7" s="14">
        <v>21.7</v>
      </c>
      <c r="C7" s="19">
        <f t="shared" si="2"/>
        <v>294.84999999999997</v>
      </c>
      <c r="D7" s="29">
        <v>0.8</v>
      </c>
      <c r="E7" s="67">
        <f>(D7*0.1)/(30+D7)</f>
        <v>0.002597402597402598</v>
      </c>
      <c r="F7" s="7"/>
      <c r="G7" s="20"/>
      <c r="H7" s="68">
        <v>0.264365878</v>
      </c>
      <c r="I7" s="68">
        <v>0.0361490664</v>
      </c>
      <c r="J7" s="21">
        <f t="shared" si="3"/>
        <v>0.2282168116</v>
      </c>
      <c r="K7" s="21">
        <f t="shared" si="4"/>
        <v>228.2168116</v>
      </c>
      <c r="L7" s="12">
        <v>6.22847967E-06</v>
      </c>
      <c r="M7" s="12">
        <v>6.920533009999999E-06</v>
      </c>
      <c r="N7" s="21">
        <f t="shared" si="5"/>
        <v>0.899999994364596</v>
      </c>
      <c r="O7" s="58">
        <f t="shared" si="6"/>
        <v>0.1502574722</v>
      </c>
      <c r="P7" s="2">
        <v>2</v>
      </c>
      <c r="Q7" s="22">
        <f t="shared" si="7"/>
        <v>1.264197391710833E-06</v>
      </c>
      <c r="R7" s="23">
        <f t="shared" si="8"/>
        <v>1.5981950452084735E-12</v>
      </c>
      <c r="S7" s="21">
        <f t="shared" si="9"/>
        <v>1.4046637773629787E-06</v>
      </c>
      <c r="T7" s="22">
        <f t="shared" si="10"/>
        <v>1.9730803274356318E-12</v>
      </c>
      <c r="U7" s="3">
        <f t="shared" si="11"/>
        <v>0.8999999943645961</v>
      </c>
      <c r="V7" s="2">
        <f t="shared" si="12"/>
        <v>78.71910177720504</v>
      </c>
      <c r="W7" s="62">
        <v>0.0819602353</v>
      </c>
      <c r="X7" s="23">
        <f t="shared" si="13"/>
        <v>0.045811168900000004</v>
      </c>
      <c r="Y7" s="2">
        <f t="shared" si="0"/>
        <v>1.0298889446994755</v>
      </c>
      <c r="Z7" s="2">
        <v>0.5</v>
      </c>
      <c r="AA7" s="22">
        <f t="shared" si="1"/>
        <v>0.0005501443639779719</v>
      </c>
      <c r="AB7" s="2">
        <f t="shared" si="14"/>
        <v>2.321445364377683E-09</v>
      </c>
      <c r="AC7" s="22">
        <f t="shared" si="15"/>
        <v>3.5165711263255304E-06</v>
      </c>
      <c r="AD7" s="2">
        <f t="shared" si="16"/>
        <v>2.089300814857632E-09</v>
      </c>
      <c r="AE7" s="22">
        <f t="shared" si="17"/>
        <v>3.164913993875678E-06</v>
      </c>
      <c r="AF7" s="15"/>
    </row>
    <row r="8" spans="1:32" ht="15">
      <c r="A8" s="2">
        <v>0.1</v>
      </c>
      <c r="B8" s="14">
        <v>21.7</v>
      </c>
      <c r="C8" s="19">
        <f t="shared" si="2"/>
        <v>294.84999999999997</v>
      </c>
      <c r="D8" s="29">
        <v>1</v>
      </c>
      <c r="E8" s="67">
        <f>(D8*0.1)/(30+D8)</f>
        <v>0.0032258064516129032</v>
      </c>
      <c r="F8" s="7"/>
      <c r="G8" s="20"/>
      <c r="H8" s="68">
        <v>0.277809857</v>
      </c>
      <c r="I8" s="68">
        <v>0.00576977741</v>
      </c>
      <c r="J8" s="21">
        <f t="shared" si="3"/>
        <v>0.27204007959</v>
      </c>
      <c r="K8" s="21">
        <f t="shared" si="4"/>
        <v>272.04007959</v>
      </c>
      <c r="L8" s="12">
        <v>8.44168691E-06</v>
      </c>
      <c r="M8" s="12">
        <v>9.004466040000001E-06</v>
      </c>
      <c r="N8" s="21">
        <f t="shared" si="5"/>
        <v>0.9374999997223599</v>
      </c>
      <c r="O8" s="58">
        <f t="shared" si="6"/>
        <v>0.141789817205</v>
      </c>
      <c r="P8" s="2">
        <v>2</v>
      </c>
      <c r="Q8" s="22">
        <f t="shared" si="7"/>
        <v>1.37963131610323E-06</v>
      </c>
      <c r="R8" s="23">
        <f t="shared" si="8"/>
        <v>1.9033825683727305E-12</v>
      </c>
      <c r="S8" s="21">
        <f t="shared" si="9"/>
        <v>1.4716067376125943E-06</v>
      </c>
      <c r="T8" s="22">
        <f t="shared" si="10"/>
        <v>2.165626390186783E-12</v>
      </c>
      <c r="U8" s="3">
        <f t="shared" si="11"/>
        <v>0.9374999997223598</v>
      </c>
      <c r="V8" s="2">
        <f t="shared" si="12"/>
        <v>78.71910177720504</v>
      </c>
      <c r="W8" s="62">
        <v>0.074059674</v>
      </c>
      <c r="X8" s="23">
        <f t="shared" si="13"/>
        <v>0.06828989659000001</v>
      </c>
      <c r="Y8" s="2">
        <f t="shared" si="0"/>
        <v>0.6908842852279157</v>
      </c>
      <c r="Z8" s="2">
        <v>0.5</v>
      </c>
      <c r="AA8" s="22">
        <f t="shared" si="1"/>
        <v>0.0011182862935780733</v>
      </c>
      <c r="AB8" s="2">
        <f t="shared" si="14"/>
        <v>3.0204864158655718E-09</v>
      </c>
      <c r="AC8" s="22">
        <f t="shared" si="15"/>
        <v>4.575492268946319E-06</v>
      </c>
      <c r="AD8" s="2">
        <f t="shared" si="16"/>
        <v>2.8317060140353648E-09</v>
      </c>
      <c r="AE8" s="22">
        <f t="shared" si="17"/>
        <v>4.289524000866832E-06</v>
      </c>
      <c r="AF8" s="15"/>
    </row>
    <row r="9" spans="1:32" ht="15">
      <c r="A9" s="2">
        <v>0.1</v>
      </c>
      <c r="B9" s="14">
        <v>21.7</v>
      </c>
      <c r="C9" s="19">
        <f t="shared" si="2"/>
        <v>294.84999999999997</v>
      </c>
      <c r="D9" s="29">
        <v>1</v>
      </c>
      <c r="E9" s="67">
        <f>(D9*0.1)/(30+D9+F9)</f>
        <v>0.0032051282051282055</v>
      </c>
      <c r="F9" s="30">
        <v>0.2</v>
      </c>
      <c r="G9" s="22">
        <f>(F9*0.00016)/(30+D9+F9)</f>
        <v>1.0256410256410259E-06</v>
      </c>
      <c r="H9" s="68">
        <v>0.271081725</v>
      </c>
      <c r="I9" s="68">
        <v>0.0270485107</v>
      </c>
      <c r="J9" s="21">
        <f t="shared" si="3"/>
        <v>0.2440332143</v>
      </c>
      <c r="K9" s="21">
        <f t="shared" si="4"/>
        <v>244.0332143</v>
      </c>
      <c r="L9" s="11">
        <v>7.311811069999999E-06</v>
      </c>
      <c r="M9" s="11">
        <v>7.294276720000001E-06</v>
      </c>
      <c r="N9" s="21">
        <f t="shared" si="5"/>
        <v>1.0024038503984805</v>
      </c>
      <c r="O9" s="58">
        <f t="shared" si="6"/>
        <v>0.14906511784999998</v>
      </c>
      <c r="P9" s="2">
        <v>2</v>
      </c>
      <c r="Q9" s="22">
        <f t="shared" si="7"/>
        <v>1.202684362845728E-06</v>
      </c>
      <c r="R9" s="23">
        <f t="shared" si="8"/>
        <v>1.4464496766336348E-12</v>
      </c>
      <c r="S9" s="21">
        <f t="shared" si="9"/>
        <v>1.199800222602528E-06</v>
      </c>
      <c r="T9" s="22">
        <f t="shared" si="10"/>
        <v>1.439520574157076E-12</v>
      </c>
      <c r="U9" s="3">
        <f t="shared" si="11"/>
        <v>1.0024038503984805</v>
      </c>
      <c r="V9" s="2">
        <f t="shared" si="12"/>
        <v>78.71910177720504</v>
      </c>
      <c r="W9" s="61">
        <v>0.0979332742</v>
      </c>
      <c r="X9" s="23">
        <f t="shared" si="13"/>
        <v>0.0708847635</v>
      </c>
      <c r="Y9" s="2">
        <f t="shared" si="0"/>
        <v>0.6655931975264393</v>
      </c>
      <c r="Z9" s="2">
        <v>0.5</v>
      </c>
      <c r="AA9" s="22">
        <f t="shared" si="1"/>
        <v>0.0005157062273632941</v>
      </c>
      <c r="AB9" s="2">
        <f t="shared" si="14"/>
        <v>2.44681513023114E-09</v>
      </c>
      <c r="AC9" s="22">
        <f t="shared" si="15"/>
        <v>3.7064837150427086E-06</v>
      </c>
      <c r="AD9" s="2">
        <f t="shared" si="16"/>
        <v>2.452696907756954E-09</v>
      </c>
      <c r="AE9" s="22">
        <f t="shared" si="17"/>
        <v>3.715393547398075E-06</v>
      </c>
      <c r="AF9" s="15"/>
    </row>
    <row r="10" spans="1:32" ht="15">
      <c r="A10" s="2">
        <v>0.1</v>
      </c>
      <c r="B10" s="14">
        <v>21.7</v>
      </c>
      <c r="C10" s="19">
        <f t="shared" si="2"/>
        <v>294.84999999999997</v>
      </c>
      <c r="D10" s="29">
        <v>1</v>
      </c>
      <c r="E10" s="67">
        <f>(D10*0.1)/(30+D10+F10)</f>
        <v>0.0031847133757961785</v>
      </c>
      <c r="F10" s="30">
        <v>0.4</v>
      </c>
      <c r="G10" s="22">
        <f>(F10*0.00016)/(30+D10+F10)</f>
        <v>2.0382165605095544E-06</v>
      </c>
      <c r="H10" s="68">
        <v>0.282938511</v>
      </c>
      <c r="I10" s="68">
        <v>0.0139169249</v>
      </c>
      <c r="J10" s="21">
        <f t="shared" si="3"/>
        <v>0.2690215861</v>
      </c>
      <c r="K10" s="21">
        <f t="shared" si="4"/>
        <v>269.0215861</v>
      </c>
      <c r="L10" s="11">
        <v>9.90014017E-06</v>
      </c>
      <c r="M10" s="11">
        <v>1.083411563E-05</v>
      </c>
      <c r="N10" s="21">
        <f t="shared" si="5"/>
        <v>0.9137931057876295</v>
      </c>
      <c r="O10" s="58">
        <f t="shared" si="6"/>
        <v>0.14842771795</v>
      </c>
      <c r="P10" s="2">
        <v>2</v>
      </c>
      <c r="Q10" s="22">
        <f t="shared" si="7"/>
        <v>1.6388646996362302E-06</v>
      </c>
      <c r="R10" s="23">
        <f t="shared" si="8"/>
        <v>2.685877503713751E-12</v>
      </c>
      <c r="S10" s="21">
        <f t="shared" si="9"/>
        <v>1.7934745723690232E-06</v>
      </c>
      <c r="T10" s="22">
        <f t="shared" si="10"/>
        <v>3.2165510417342506E-12</v>
      </c>
      <c r="U10" s="3">
        <f t="shared" si="11"/>
        <v>0.9137931057876294</v>
      </c>
      <c r="V10" s="2">
        <f t="shared" si="12"/>
        <v>78.71910177720504</v>
      </c>
      <c r="W10" s="61">
        <v>0.0746404845</v>
      </c>
      <c r="X10" s="23">
        <f t="shared" si="13"/>
        <v>0.060723559600000004</v>
      </c>
      <c r="Y10" s="2">
        <f t="shared" si="0"/>
        <v>0.7769705317780882</v>
      </c>
      <c r="Z10" s="2">
        <v>0.5</v>
      </c>
      <c r="AA10" s="22">
        <f t="shared" si="1"/>
        <v>0.0013619386995857234</v>
      </c>
      <c r="AB10" s="2">
        <f t="shared" si="14"/>
        <v>3.6342298302822924E-09</v>
      </c>
      <c r="AC10" s="22">
        <f t="shared" si="15"/>
        <v>5.505202872188906E-06</v>
      </c>
      <c r="AD10" s="2">
        <f t="shared" si="16"/>
        <v>3.320934163759706E-09</v>
      </c>
      <c r="AE10" s="22">
        <f t="shared" si="17"/>
        <v>5.030616430568479E-06</v>
      </c>
      <c r="AF10" s="15"/>
    </row>
    <row r="11" spans="1:32" ht="15">
      <c r="A11" s="2">
        <v>0.1</v>
      </c>
      <c r="B11" s="14">
        <v>21.7</v>
      </c>
      <c r="C11" s="19">
        <f t="shared" si="2"/>
        <v>294.84999999999997</v>
      </c>
      <c r="D11" s="29">
        <v>1</v>
      </c>
      <c r="E11" s="67">
        <f>(D11*0.1)/(30+D11+F11)</f>
        <v>0.0031645569620253164</v>
      </c>
      <c r="F11" s="30">
        <v>0.6</v>
      </c>
      <c r="G11" s="22">
        <f>(F11*0.00016)/(30+D11+F11)</f>
        <v>3.037974683544304E-06</v>
      </c>
      <c r="H11" s="68">
        <v>0.26907798</v>
      </c>
      <c r="I11" s="68">
        <v>0.0234558297</v>
      </c>
      <c r="J11" s="21">
        <f t="shared" si="3"/>
        <v>0.2456221503</v>
      </c>
      <c r="K11" s="21">
        <f t="shared" si="4"/>
        <v>245.62215030000002</v>
      </c>
      <c r="L11" s="11">
        <v>7.221177340000001E-06</v>
      </c>
      <c r="M11" s="11">
        <v>7.04064792E-06</v>
      </c>
      <c r="N11" s="21">
        <f t="shared" si="5"/>
        <v>1.0256410236744236</v>
      </c>
      <c r="O11" s="58">
        <f t="shared" si="6"/>
        <v>0.14626690485</v>
      </c>
      <c r="P11" s="2">
        <v>2</v>
      </c>
      <c r="Q11" s="22">
        <f t="shared" si="7"/>
        <v>1.2030043632281282E-06</v>
      </c>
      <c r="R11" s="23">
        <f t="shared" si="8"/>
        <v>1.4472194979459143E-12</v>
      </c>
      <c r="S11" s="21">
        <f t="shared" si="9"/>
        <v>1.1729292563964432E-06</v>
      </c>
      <c r="T11" s="22">
        <f t="shared" si="10"/>
        <v>1.3757630405107134E-12</v>
      </c>
      <c r="U11" s="3">
        <f t="shared" si="11"/>
        <v>1.0256410236744233</v>
      </c>
      <c r="V11" s="2">
        <f t="shared" si="12"/>
        <v>78.71910177720504</v>
      </c>
      <c r="W11" s="61">
        <v>0.0911161387</v>
      </c>
      <c r="X11" s="23">
        <f t="shared" si="13"/>
        <v>0.067660309</v>
      </c>
      <c r="Y11" s="2">
        <f t="shared" si="0"/>
        <v>0.6973130494256305</v>
      </c>
      <c r="Z11" s="2">
        <v>0.5</v>
      </c>
      <c r="AA11" s="22">
        <f t="shared" si="1"/>
        <v>0.0005324208594347637</v>
      </c>
      <c r="AB11" s="2">
        <f t="shared" si="14"/>
        <v>2.3617370876610238E-09</v>
      </c>
      <c r="AC11" s="22">
        <f t="shared" si="15"/>
        <v>3.5776058217365406E-06</v>
      </c>
      <c r="AD11" s="2">
        <f t="shared" si="16"/>
        <v>2.422294444238504E-09</v>
      </c>
      <c r="AE11" s="22">
        <f t="shared" si="17"/>
        <v>3.6693392973094426E-06</v>
      </c>
      <c r="AF11" s="15"/>
    </row>
    <row r="12" spans="1:32" ht="15">
      <c r="A12" s="2">
        <v>0.1</v>
      </c>
      <c r="B12" s="14">
        <v>21.7</v>
      </c>
      <c r="C12" s="19">
        <f t="shared" si="2"/>
        <v>294.84999999999997</v>
      </c>
      <c r="D12" s="29">
        <v>1</v>
      </c>
      <c r="E12" s="67">
        <f>(D12*0.1)/(30+D12+F12)</f>
        <v>0.0031446540880503146</v>
      </c>
      <c r="F12" s="30">
        <v>0.8</v>
      </c>
      <c r="G12" s="22">
        <f>(F12*0.00016)/(30+D12+F12)</f>
        <v>4.0251572327044035E-06</v>
      </c>
      <c r="H12" s="68">
        <v>0.285162543</v>
      </c>
      <c r="I12" s="68">
        <v>0.0165197629</v>
      </c>
      <c r="J12" s="21">
        <f t="shared" si="3"/>
        <v>0.2686427801</v>
      </c>
      <c r="K12" s="21">
        <f t="shared" si="4"/>
        <v>268.6427801</v>
      </c>
      <c r="L12" s="11">
        <v>9.55461489E-06</v>
      </c>
      <c r="M12" s="11">
        <v>8.73094124E-06</v>
      </c>
      <c r="N12" s="21">
        <f t="shared" si="5"/>
        <v>1.0943396166986459</v>
      </c>
      <c r="O12" s="58">
        <f t="shared" si="6"/>
        <v>0.15084115295</v>
      </c>
      <c r="P12" s="2">
        <v>2</v>
      </c>
      <c r="Q12" s="22">
        <f t="shared" si="7"/>
        <v>1.6018152211165821E-06</v>
      </c>
      <c r="R12" s="23">
        <f t="shared" si="8"/>
        <v>2.5658120026007648E-12</v>
      </c>
      <c r="S12" s="21">
        <f t="shared" si="9"/>
        <v>1.463727710003651E-06</v>
      </c>
      <c r="T12" s="22">
        <f t="shared" si="10"/>
        <v>2.142498809032532E-12</v>
      </c>
      <c r="U12" s="3">
        <f t="shared" si="11"/>
        <v>1.0943396166986459</v>
      </c>
      <c r="V12" s="2">
        <f t="shared" si="12"/>
        <v>78.71910177720504</v>
      </c>
      <c r="W12" s="61">
        <v>0.0854536777</v>
      </c>
      <c r="X12" s="23">
        <f t="shared" si="13"/>
        <v>0.0689339148</v>
      </c>
      <c r="Y12" s="2">
        <f t="shared" si="0"/>
        <v>0.6844296676136321</v>
      </c>
      <c r="Z12" s="2">
        <v>0.5</v>
      </c>
      <c r="AA12" s="22">
        <f t="shared" si="1"/>
        <v>0.0010354930419653248</v>
      </c>
      <c r="AB12" s="2">
        <f t="shared" si="14"/>
        <v>2.928734396464058E-09</v>
      </c>
      <c r="AC12" s="22">
        <f t="shared" si="15"/>
        <v>4.436504504185411E-06</v>
      </c>
      <c r="AD12" s="2">
        <f t="shared" si="16"/>
        <v>3.205030076838617E-09</v>
      </c>
      <c r="AE12" s="22">
        <f t="shared" si="17"/>
        <v>4.8550426385920785E-06</v>
      </c>
      <c r="AF12" s="15"/>
    </row>
    <row r="13" spans="1:32" ht="15">
      <c r="A13" s="2">
        <v>0.1</v>
      </c>
      <c r="B13" s="14">
        <v>21.7</v>
      </c>
      <c r="C13" s="19">
        <f t="shared" si="2"/>
        <v>294.84999999999997</v>
      </c>
      <c r="D13" s="29">
        <v>1</v>
      </c>
      <c r="E13" s="67">
        <f>(D13*0.1)/(30+D13+F13)</f>
        <v>0.003125</v>
      </c>
      <c r="F13" s="30">
        <v>1</v>
      </c>
      <c r="G13" s="22">
        <f>(F13*0.00016)/(30+D13+F13)</f>
        <v>5E-06</v>
      </c>
      <c r="H13" s="68">
        <v>0.300262041</v>
      </c>
      <c r="I13" s="68">
        <v>0.00864248363</v>
      </c>
      <c r="J13" s="21">
        <f t="shared" si="3"/>
        <v>0.29161955737</v>
      </c>
      <c r="K13" s="21">
        <f t="shared" si="4"/>
        <v>291.61955737</v>
      </c>
      <c r="L13" s="11">
        <v>1.092849217E-05</v>
      </c>
      <c r="M13" s="11">
        <v>9.304179169999998E-06</v>
      </c>
      <c r="N13" s="21">
        <f t="shared" si="5"/>
        <v>1.1745788607809025</v>
      </c>
      <c r="O13" s="58">
        <f t="shared" si="6"/>
        <v>0.15445226231499998</v>
      </c>
      <c r="P13" s="2">
        <v>2</v>
      </c>
      <c r="Q13" s="22">
        <f t="shared" si="7"/>
        <v>1.8436663662304868E-06</v>
      </c>
      <c r="R13" s="23">
        <f t="shared" si="8"/>
        <v>3.3991056699695273E-12</v>
      </c>
      <c r="S13" s="21">
        <f t="shared" si="9"/>
        <v>1.5696403432671613E-06</v>
      </c>
      <c r="T13" s="22">
        <f t="shared" si="10"/>
        <v>2.463770807211852E-12</v>
      </c>
      <c r="U13" s="3">
        <f t="shared" si="11"/>
        <v>1.1745788607809022</v>
      </c>
      <c r="V13" s="2">
        <f t="shared" si="12"/>
        <v>78.71910177720504</v>
      </c>
      <c r="W13" s="61">
        <v>0.0755852802</v>
      </c>
      <c r="X13" s="23">
        <f t="shared" si="13"/>
        <v>0.06694279656999999</v>
      </c>
      <c r="Y13" s="2">
        <f t="shared" si="0"/>
        <v>0.7047870541908919</v>
      </c>
      <c r="Z13" s="2">
        <v>0.5</v>
      </c>
      <c r="AA13" s="22">
        <f t="shared" si="1"/>
        <v>0.001771046318833925</v>
      </c>
      <c r="AB13" s="2">
        <f t="shared" si="14"/>
        <v>3.1210231310689024E-09</v>
      </c>
      <c r="AC13" s="22">
        <f t="shared" si="15"/>
        <v>4.727787263799416E-06</v>
      </c>
      <c r="AD13" s="2">
        <f t="shared" si="16"/>
        <v>3.6658877937617564E-09</v>
      </c>
      <c r="AE13" s="22">
        <f t="shared" si="17"/>
        <v>5.553158978327978E-06</v>
      </c>
      <c r="AF13" s="15"/>
    </row>
    <row r="14" spans="1:32" ht="14.25">
      <c r="A14" s="15"/>
      <c r="B14" s="15"/>
      <c r="C14" s="15"/>
      <c r="D14" s="15"/>
      <c r="E14" s="15"/>
      <c r="F14" s="15"/>
      <c r="G14" s="15"/>
      <c r="H14" s="16"/>
      <c r="I14" s="15"/>
      <c r="J14" s="24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5"/>
      <c r="Z14" s="15"/>
      <c r="AA14" s="15"/>
      <c r="AB14" s="16"/>
      <c r="AC14" s="16"/>
      <c r="AD14" s="16"/>
      <c r="AE14" s="16"/>
      <c r="AF14" s="16"/>
    </row>
    <row r="15" spans="1:32" ht="14.25">
      <c r="A15" s="15"/>
      <c r="B15" s="15"/>
      <c r="C15" s="15"/>
      <c r="D15" s="15"/>
      <c r="E15" s="15"/>
      <c r="F15" s="15"/>
      <c r="G15" s="25"/>
      <c r="H15" s="26">
        <v>1</v>
      </c>
      <c r="I15" s="15"/>
      <c r="J15" s="24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5"/>
      <c r="Z15" s="15"/>
      <c r="AA15" s="15"/>
      <c r="AB15" s="16"/>
      <c r="AC15" s="16"/>
      <c r="AD15" s="16"/>
      <c r="AE15" s="16"/>
      <c r="AF15" s="16"/>
    </row>
    <row r="16" spans="1:32" ht="18">
      <c r="A16" s="15"/>
      <c r="B16" s="15"/>
      <c r="C16" s="15"/>
      <c r="D16" s="15"/>
      <c r="E16" s="15"/>
      <c r="F16" s="15"/>
      <c r="G16" s="25"/>
      <c r="H16" s="35" t="s">
        <v>35</v>
      </c>
      <c r="I16" s="27"/>
      <c r="J16" s="28"/>
      <c r="K16" s="28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5"/>
      <c r="Z16" s="15"/>
      <c r="AA16" s="15"/>
      <c r="AB16" s="16"/>
      <c r="AC16" s="16"/>
      <c r="AD16" s="16"/>
      <c r="AE16" s="16"/>
      <c r="AF16" s="16"/>
    </row>
    <row r="17" spans="1:32" ht="18.75">
      <c r="A17" s="1" t="s">
        <v>0</v>
      </c>
      <c r="B17" s="1" t="s">
        <v>36</v>
      </c>
      <c r="C17" s="1" t="s">
        <v>13</v>
      </c>
      <c r="D17" s="1" t="s">
        <v>13</v>
      </c>
      <c r="E17" s="1" t="s">
        <v>8</v>
      </c>
      <c r="F17" s="1" t="s">
        <v>14</v>
      </c>
      <c r="G17" s="1" t="s">
        <v>2</v>
      </c>
      <c r="H17" s="1" t="s">
        <v>3</v>
      </c>
      <c r="I17" s="1" t="s">
        <v>16</v>
      </c>
      <c r="J17" s="1" t="s">
        <v>17</v>
      </c>
      <c r="K17" s="1" t="s">
        <v>4</v>
      </c>
      <c r="L17" s="1" t="s">
        <v>5</v>
      </c>
      <c r="M17" s="1" t="s">
        <v>18</v>
      </c>
      <c r="N17" s="1" t="s">
        <v>19</v>
      </c>
      <c r="O17" s="1" t="s">
        <v>20</v>
      </c>
      <c r="P17" s="1" t="s">
        <v>21</v>
      </c>
      <c r="Q17" s="1" t="s">
        <v>22</v>
      </c>
      <c r="R17" s="1" t="s">
        <v>23</v>
      </c>
      <c r="S17" s="1" t="s">
        <v>24</v>
      </c>
      <c r="T17" s="1" t="s">
        <v>25</v>
      </c>
      <c r="U17" s="1" t="s">
        <v>26</v>
      </c>
      <c r="V17" s="1" t="s">
        <v>6</v>
      </c>
      <c r="W17" s="1" t="s">
        <v>27</v>
      </c>
      <c r="X17" s="1" t="s">
        <v>37</v>
      </c>
      <c r="Y17" s="1" t="s">
        <v>38</v>
      </c>
      <c r="Z17" s="1" t="s">
        <v>30</v>
      </c>
      <c r="AA17" s="1" t="s">
        <v>31</v>
      </c>
      <c r="AB17" s="1" t="s">
        <v>32</v>
      </c>
      <c r="AC17" s="1" t="s">
        <v>33</v>
      </c>
      <c r="AD17" s="1" t="s">
        <v>34</v>
      </c>
      <c r="AE17" s="15"/>
      <c r="AF17" s="16"/>
    </row>
    <row r="18" spans="1:32" ht="15">
      <c r="A18" s="9">
        <v>0.1</v>
      </c>
      <c r="B18" s="3">
        <f>A18^0.5</f>
        <v>0.31622776601683794</v>
      </c>
      <c r="C18" s="2">
        <v>21.7</v>
      </c>
      <c r="D18" s="3">
        <f>273.15+C18</f>
        <v>294.84999999999997</v>
      </c>
      <c r="E18" s="2">
        <v>0.8</v>
      </c>
      <c r="F18" s="22">
        <f>(E18*0.1)/(30+E18)</f>
        <v>0.002597402597402598</v>
      </c>
      <c r="G18" s="12">
        <v>0.264365878</v>
      </c>
      <c r="H18" s="5">
        <v>0.0361490664</v>
      </c>
      <c r="I18" s="21">
        <f>G18-H18</f>
        <v>0.2282168116</v>
      </c>
      <c r="J18" s="2">
        <f>I18*1000</f>
        <v>228.2168116</v>
      </c>
      <c r="K18" s="4">
        <v>6.22847967E-06</v>
      </c>
      <c r="L18" s="4">
        <v>6.920533009999999E-06</v>
      </c>
      <c r="M18" s="3">
        <f>K18/L18</f>
        <v>0.899999994364596</v>
      </c>
      <c r="N18" s="21">
        <f>(G18+H18)/2</f>
        <v>0.1502574722</v>
      </c>
      <c r="O18" s="3">
        <v>2</v>
      </c>
      <c r="P18" s="21">
        <f>K18*D18^(1/2)*8.314^(1/2)/(0.4463*O18*96485.33*0.00785*F18*(O18*A18*96485.33)^(1/2))</f>
        <v>1.264197391710833E-06</v>
      </c>
      <c r="Q18" s="22">
        <f>P18^2</f>
        <v>1.5981950452084735E-12</v>
      </c>
      <c r="R18" s="22">
        <f>L18*D18^(1/2)*8.314^(1/2)/(0.4463*O18*96485.33*0.00785*F18*(O18*A18*96485.33)^(1/2))</f>
        <v>1.4046637773629787E-06</v>
      </c>
      <c r="S18" s="21">
        <f>R18^2</f>
        <v>1.9730803274356318E-12</v>
      </c>
      <c r="T18" s="23">
        <f>(Q18/S18)^(1/2)</f>
        <v>0.8999999943645961</v>
      </c>
      <c r="U18" s="2">
        <f>(O18*96485.33)/(8.314*D18)</f>
        <v>78.71910177720504</v>
      </c>
      <c r="V18" s="60">
        <v>0.0819602353</v>
      </c>
      <c r="W18" s="21">
        <f>-(H18-V18)</f>
        <v>0.045811168900000004</v>
      </c>
      <c r="X18" s="3">
        <f>(1.857*8.314*D18)/(W18*96485.33)</f>
        <v>1.0298889446994755</v>
      </c>
      <c r="Y18" s="2">
        <v>0.5</v>
      </c>
      <c r="Z18" s="22">
        <f>2.18*(((S18*X18*96485.33*A18)/(8.314*D18))^(1/2))*EXP((((Y18)^2)*O18*96485.33*I18)/(8.314*D18))</f>
        <v>0.0005501443639779719</v>
      </c>
      <c r="AA18" s="2">
        <f>(L18*4*8.314*D18)/((O18)^2*96485.33^2*0.00785*A18)</f>
        <v>2.321445364377683E-09</v>
      </c>
      <c r="AB18" s="22">
        <f>O18*AA18*0.00785*96485.33</f>
        <v>3.5165711263255304E-06</v>
      </c>
      <c r="AC18" s="2">
        <f>(K18*4*8.314*D18)/((O18)^2*96485.33^2*0.00785*A18)</f>
        <v>2.089300814857632E-09</v>
      </c>
      <c r="AD18" s="22">
        <f>O18*AC18*0.00785*96485.33</f>
        <v>3.164913993875678E-06</v>
      </c>
      <c r="AE18" s="15"/>
      <c r="AF18" s="16"/>
    </row>
    <row r="19" spans="1:32" ht="15">
      <c r="A19" s="9">
        <v>0.02</v>
      </c>
      <c r="B19" s="3">
        <f>A19^0.5</f>
        <v>0.1414213562373095</v>
      </c>
      <c r="C19" s="2">
        <v>21.7</v>
      </c>
      <c r="D19" s="3">
        <f>273.15+C19</f>
        <v>294.84999999999997</v>
      </c>
      <c r="E19" s="2">
        <v>0.8</v>
      </c>
      <c r="F19" s="22">
        <f>(E19*0.1)/(30+E19)</f>
        <v>0.002597402597402598</v>
      </c>
      <c r="G19" s="12">
        <v>0.232343906</v>
      </c>
      <c r="H19" s="5">
        <v>0.11153905</v>
      </c>
      <c r="I19" s="21">
        <f>G19-H19</f>
        <v>0.12080485599999999</v>
      </c>
      <c r="J19" s="2">
        <f>I19*1000</f>
        <v>120.80485599999999</v>
      </c>
      <c r="K19" s="4">
        <v>1.3537531900000003E-06</v>
      </c>
      <c r="L19" s="4">
        <v>1.4891285200000002E-06</v>
      </c>
      <c r="M19" s="3">
        <f>K19/L19</f>
        <v>0.9090909023755721</v>
      </c>
      <c r="N19" s="21">
        <f>(G19+H19)/2</f>
        <v>0.17194147799999998</v>
      </c>
      <c r="O19" s="3">
        <v>2</v>
      </c>
      <c r="P19" s="21">
        <f>K19*D19^(1/2)*8.314^(1/2)/(0.4463*O19*96485.33*0.00785*F19*(O19*A19*96485.33)^(1/2))</f>
        <v>6.144086678095477E-07</v>
      </c>
      <c r="Q19" s="22">
        <f>P19^2</f>
        <v>3.7749801107950316E-13</v>
      </c>
      <c r="R19" s="22">
        <f>L19*D19^(1/2)*8.314^(1/2)/(0.4463*O19*96485.33*0.00785*F19*(O19*A19*96485.33)^(1/2))</f>
        <v>6.758495395829156E-07</v>
      </c>
      <c r="S19" s="21">
        <f>R19^2</f>
        <v>4.56772600154439E-13</v>
      </c>
      <c r="T19" s="23">
        <f>(Q19/S19)^(1/2)</f>
        <v>0.9090909023755722</v>
      </c>
      <c r="U19" s="2">
        <f>(O19*96485.33)/(8.314*D19)</f>
        <v>78.71910177720504</v>
      </c>
      <c r="V19" s="31">
        <v>0.133588265</v>
      </c>
      <c r="W19" s="21">
        <f>-(H19-V19)</f>
        <v>0.02204921500000001</v>
      </c>
      <c r="X19" s="3">
        <f>(1.857*8.314*D19)/(W19*96485.33)</f>
        <v>2.13977760178176</v>
      </c>
      <c r="Y19" s="2">
        <v>0.5</v>
      </c>
      <c r="Z19" s="22">
        <f>2.18*(((S19*X19*96485.33*A19)/(8.314*D19))^(1/2))*EXP((((Y19)^2)*O19*96485.33*I19)/(8.314*D19))</f>
        <v>2.0607627844155623E-05</v>
      </c>
      <c r="AA19" s="2">
        <f>(L19*4*8.314*D19)/((O19)^2*96485.33^2*0.00785*A19)</f>
        <v>2.497589777204603E-09</v>
      </c>
      <c r="AB19" s="22">
        <f>O19*AA19*0.00785*96485.33</f>
        <v>3.7833981495739377E-06</v>
      </c>
      <c r="AC19" s="2">
        <f>(K19*4*8.314*D19)/((O19)^2*96485.33^2*0.00785*A19)</f>
        <v>2.270536144322937E-09</v>
      </c>
      <c r="AD19" s="22">
        <f>O19*AC19*0.00785*96485.33</f>
        <v>3.439452837842241E-06</v>
      </c>
      <c r="AE19" s="15"/>
      <c r="AF19" s="16"/>
    </row>
    <row r="20" spans="1:32" ht="15">
      <c r="A20" s="9">
        <v>0.01</v>
      </c>
      <c r="B20" s="3">
        <f>A20^0.5</f>
        <v>0.1</v>
      </c>
      <c r="C20" s="2">
        <v>21.7</v>
      </c>
      <c r="D20" s="3">
        <f>273.15+C20</f>
        <v>294.84999999999997</v>
      </c>
      <c r="E20" s="2">
        <v>0.8</v>
      </c>
      <c r="F20" s="22">
        <f>(E20*0.1)/(30+E20)</f>
        <v>0.002597402597402598</v>
      </c>
      <c r="G20" s="12">
        <v>0.230785342</v>
      </c>
      <c r="H20" s="5">
        <v>0.114317981</v>
      </c>
      <c r="I20" s="21">
        <f>G20-H20</f>
        <v>0.116467361</v>
      </c>
      <c r="J20" s="2">
        <f>I20*1000</f>
        <v>116.46736100000001</v>
      </c>
      <c r="K20" s="4">
        <v>1.6067511229999998E-06</v>
      </c>
      <c r="L20" s="4">
        <v>1.6067511209999998E-06</v>
      </c>
      <c r="M20" s="3">
        <f>K20/L20</f>
        <v>1.0000000012447479</v>
      </c>
      <c r="N20" s="21">
        <f>(G20+H20)/2</f>
        <v>0.1725516615</v>
      </c>
      <c r="O20" s="3">
        <v>2</v>
      </c>
      <c r="P20" s="21">
        <f>K20*D20^(1/2)*8.314^(1/2)/(0.4463*O20*96485.33*0.00785*F20*(O20*A20*96485.33)^(1/2))</f>
        <v>1.0312915298674404E-06</v>
      </c>
      <c r="Q20" s="22">
        <f>P20^2</f>
        <v>1.0635622195763256E-12</v>
      </c>
      <c r="R20" s="22">
        <f>L20*D20^(1/2)*8.314^(1/2)/(0.4463*O20*96485.33*0.00785*F20*(O20*A20*96485.33)^(1/2))</f>
        <v>1.0312915285837424E-06</v>
      </c>
      <c r="S20" s="21">
        <f>R20^2</f>
        <v>1.0635622169285921E-12</v>
      </c>
      <c r="T20" s="23">
        <f>(Q20/S20)^(1/2)</f>
        <v>1.0000000012447476</v>
      </c>
      <c r="U20" s="2">
        <f>(O20*96485.33)/(8.314*D20)</f>
        <v>78.71910177720504</v>
      </c>
      <c r="V20" s="31">
        <v>0.137906307</v>
      </c>
      <c r="W20" s="21">
        <f>-(H20-V20)</f>
        <v>0.023588326000000007</v>
      </c>
      <c r="X20" s="3">
        <f>(1.857*8.314*D20)/(W20*96485.33)</f>
        <v>2.0001595871563937</v>
      </c>
      <c r="Y20" s="2">
        <v>0.5</v>
      </c>
      <c r="Z20" s="22">
        <f>2.18*(((S20*X20*96485.33*A20)/(8.314*D20))^(1/2))*EXP((((Y20)^2)*O20*96485.33*I20)/(8.314*D20))</f>
        <v>1.9738795999985818E-05</v>
      </c>
      <c r="AA20" s="2">
        <f>(L20*4*8.314*D20)/((O20)^2*96485.33^2*0.00785*A20)</f>
        <v>5.389736507526746E-09</v>
      </c>
      <c r="AB20" s="22">
        <f>O20*AA20*0.00785*96485.33</f>
        <v>8.164478937005718E-06</v>
      </c>
      <c r="AC20" s="2">
        <f>(K20*4*8.314*D20)/((O20)^2*96485.33^2*0.00785*A20)</f>
        <v>5.389736514235608E-09</v>
      </c>
      <c r="AD20" s="22">
        <f>O20*AC20*0.00785*96485.33</f>
        <v>8.164478947168435E-06</v>
      </c>
      <c r="AE20" s="15"/>
      <c r="AF20" s="16"/>
    </row>
    <row r="22" ht="14.25">
      <c r="R22" s="10"/>
    </row>
    <row r="27" spans="7:9" ht="26.25">
      <c r="G27" s="32"/>
      <c r="H27" s="32" t="s">
        <v>39</v>
      </c>
      <c r="I27" s="32"/>
    </row>
    <row r="30" spans="1:30" ht="18">
      <c r="A30" s="15"/>
      <c r="B30" s="15"/>
      <c r="C30" s="15"/>
      <c r="D30" s="15"/>
      <c r="E30" s="15"/>
      <c r="F30" s="15"/>
      <c r="G30" s="25"/>
      <c r="H30" s="34" t="s">
        <v>40</v>
      </c>
      <c r="I30" s="34"/>
      <c r="J30" s="34"/>
      <c r="K30" s="3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5"/>
      <c r="Z30" s="15"/>
      <c r="AA30" s="15"/>
      <c r="AB30" s="16"/>
      <c r="AC30" s="16"/>
      <c r="AD30" s="16"/>
    </row>
    <row r="31" spans="1:30" ht="18.75">
      <c r="A31" s="1" t="s">
        <v>0</v>
      </c>
      <c r="B31" s="1" t="s">
        <v>36</v>
      </c>
      <c r="C31" s="1" t="s">
        <v>13</v>
      </c>
      <c r="D31" s="1" t="s">
        <v>13</v>
      </c>
      <c r="E31" s="1" t="s">
        <v>8</v>
      </c>
      <c r="F31" s="1" t="s">
        <v>14</v>
      </c>
      <c r="G31" s="1" t="s">
        <v>2</v>
      </c>
      <c r="H31" s="1" t="s">
        <v>3</v>
      </c>
      <c r="I31" s="1" t="s">
        <v>16</v>
      </c>
      <c r="J31" s="1" t="s">
        <v>17</v>
      </c>
      <c r="K31" s="1" t="s">
        <v>4</v>
      </c>
      <c r="L31" s="1" t="s">
        <v>5</v>
      </c>
      <c r="M31" s="1" t="s">
        <v>18</v>
      </c>
      <c r="N31" s="1" t="s">
        <v>19</v>
      </c>
      <c r="O31" s="1" t="s">
        <v>20</v>
      </c>
      <c r="P31" s="1" t="s">
        <v>21</v>
      </c>
      <c r="Q31" s="1" t="s">
        <v>22</v>
      </c>
      <c r="R31" s="1" t="s">
        <v>23</v>
      </c>
      <c r="S31" s="1" t="s">
        <v>24</v>
      </c>
      <c r="T31" s="1" t="s">
        <v>25</v>
      </c>
      <c r="U31" s="1" t="s">
        <v>26</v>
      </c>
      <c r="V31" s="1" t="s">
        <v>6</v>
      </c>
      <c r="W31" s="1" t="s">
        <v>27</v>
      </c>
      <c r="X31" s="1" t="s">
        <v>37</v>
      </c>
      <c r="Y31" s="1" t="s">
        <v>38</v>
      </c>
      <c r="Z31" s="1" t="s">
        <v>30</v>
      </c>
      <c r="AA31" s="1" t="s">
        <v>31</v>
      </c>
      <c r="AB31" s="1" t="s">
        <v>32</v>
      </c>
      <c r="AC31" s="1" t="s">
        <v>33</v>
      </c>
      <c r="AD31" s="1" t="s">
        <v>34</v>
      </c>
    </row>
    <row r="32" spans="1:30" ht="15">
      <c r="A32" s="9">
        <v>0.1</v>
      </c>
      <c r="B32" s="3">
        <f>A32^0.5</f>
        <v>0.31622776601683794</v>
      </c>
      <c r="C32" s="2">
        <v>21.7</v>
      </c>
      <c r="D32" s="3">
        <f>273.15+C32</f>
        <v>294.84999999999997</v>
      </c>
      <c r="E32" s="2">
        <v>1</v>
      </c>
      <c r="F32" s="22">
        <f>(E32*0.1)/(31+E32)</f>
        <v>0.003125</v>
      </c>
      <c r="G32" s="33">
        <v>0.300262041</v>
      </c>
      <c r="H32" s="33">
        <v>0.00864248363</v>
      </c>
      <c r="I32" s="21">
        <f>G32-H32</f>
        <v>0.29161955737</v>
      </c>
      <c r="J32" s="2">
        <f>I32*1000</f>
        <v>291.61955737</v>
      </c>
      <c r="K32" s="33">
        <v>1.092849217E-05</v>
      </c>
      <c r="L32" s="33">
        <v>9.304179169999998E-06</v>
      </c>
      <c r="M32" s="23">
        <f>K32/L32</f>
        <v>1.1745788607809025</v>
      </c>
      <c r="N32" s="21">
        <f>(G32+H32)/2</f>
        <v>0.15445226231499998</v>
      </c>
      <c r="O32" s="3">
        <v>2</v>
      </c>
      <c r="P32" s="22">
        <f>K32*D32^(1/2)*8.314^(1/2)/(0.4463*O32*96485.33*0.00785*F32*(O32*A32*96485.33)^(1/2))</f>
        <v>1.8436663662304868E-06</v>
      </c>
      <c r="Q32" s="3">
        <f>P32^2</f>
        <v>3.3991056699695273E-12</v>
      </c>
      <c r="R32" s="22">
        <f>L32*D32^(1/2)*8.314^(1/2)/(0.4463*O32*96485.33*0.00785*F32*(O32*A32*96485.33)^(1/2))</f>
        <v>1.5696403432671613E-06</v>
      </c>
      <c r="S32" s="2">
        <f>R32^2</f>
        <v>2.463770807211852E-12</v>
      </c>
      <c r="T32" s="3">
        <f>(Q32/S32)^(1/2)</f>
        <v>1.1745788607809022</v>
      </c>
      <c r="U32" s="2">
        <f>(O32*96485.33)/(8.314*D32)</f>
        <v>78.71910177720504</v>
      </c>
      <c r="V32" s="61">
        <v>0.0755852802</v>
      </c>
      <c r="W32" s="21">
        <f>-(H32-V32)</f>
        <v>0.06694279656999999</v>
      </c>
      <c r="X32" s="3">
        <f>(1.857*8.314*D32)/(W32*96485.33)</f>
        <v>0.7047870541908919</v>
      </c>
      <c r="Y32" s="2">
        <v>0.5</v>
      </c>
      <c r="Z32" s="22">
        <f>2.18*(((S32*X32*96485.33*A32)/(8.314*D32))^(1/2))*EXP((((Y32)^2)*O32*96485.33*I32)/(8.314*D32))</f>
        <v>0.001771046318833925</v>
      </c>
      <c r="AA32" s="2">
        <f>(L32*4*8.314*D32)/((O32)^2*96485.33^2*0.00785*A32)</f>
        <v>3.1210231310689024E-09</v>
      </c>
      <c r="AB32" s="22">
        <f>O32*AA32*0.00785*96485.33</f>
        <v>4.727787263799416E-06</v>
      </c>
      <c r="AC32" s="2">
        <f>(K32*4*8.314*D32)/((O32)^2*96485.33^2*0.00785*A32)</f>
        <v>3.6658877937617564E-09</v>
      </c>
      <c r="AD32" s="22">
        <f>O32*AC32*0.00785*96485.33</f>
        <v>5.553158978327978E-06</v>
      </c>
    </row>
    <row r="33" spans="1:30" ht="15">
      <c r="A33" s="9">
        <v>0.02</v>
      </c>
      <c r="B33" s="3">
        <f>A33^0.5</f>
        <v>0.1414213562373095</v>
      </c>
      <c r="C33" s="2">
        <v>21.7</v>
      </c>
      <c r="D33" s="3">
        <f>273.15+C33</f>
        <v>294.84999999999997</v>
      </c>
      <c r="E33" s="2">
        <v>1</v>
      </c>
      <c r="F33" s="22">
        <f>(E33*0.1)/(31+E33)</f>
        <v>0.003125</v>
      </c>
      <c r="G33" s="33">
        <v>0.252146394</v>
      </c>
      <c r="H33" s="33">
        <v>0.093602605</v>
      </c>
      <c r="I33" s="21">
        <f>G33-H33</f>
        <v>0.158543789</v>
      </c>
      <c r="J33" s="2">
        <f>I33*1000</f>
        <v>158.543789</v>
      </c>
      <c r="K33" s="33">
        <v>3.992707125E-06</v>
      </c>
      <c r="L33" s="33">
        <v>3.80987158E-06</v>
      </c>
      <c r="M33" s="23">
        <f>K33/L33</f>
        <v>1.047989949572001</v>
      </c>
      <c r="N33" s="21">
        <f>(G33+H33)/2</f>
        <v>0.1728744995</v>
      </c>
      <c r="O33" s="3">
        <v>2</v>
      </c>
      <c r="P33" s="22">
        <f>K33*D33^(1/2)*8.314^(1/2)/(0.4463*O33*96485.33*0.00785*F33*(O33*A33*96485.33)^(1/2))</f>
        <v>1.506171912450881E-06</v>
      </c>
      <c r="Q33" s="3">
        <f>P33^2</f>
        <v>2.2685538298559442E-12</v>
      </c>
      <c r="R33" s="22">
        <f>L33*D33^(1/2)*8.314^(1/2)/(0.4463*O33*96485.33*0.00785*F33*(O33*A33*96485.33)^(1/2))</f>
        <v>1.4372007222645608E-06</v>
      </c>
      <c r="S33" s="2">
        <f>R33^2</f>
        <v>2.0655459160777753E-12</v>
      </c>
      <c r="T33" s="3">
        <f>(Q33/S33)^(1/2)</f>
        <v>1.0479899495720013</v>
      </c>
      <c r="U33" s="2">
        <f>(O33*96485.33)/(8.314*D33)</f>
        <v>78.71910177720504</v>
      </c>
      <c r="V33" s="31">
        <v>0.123004403</v>
      </c>
      <c r="W33" s="21">
        <f>-(H33-V33)</f>
        <v>0.029401797999999993</v>
      </c>
      <c r="X33" s="3">
        <f>(1.857*8.314*D33)/(W33*96485.33)</f>
        <v>1.6046779313928505</v>
      </c>
      <c r="Y33" s="2">
        <v>0.5</v>
      </c>
      <c r="Z33" s="22">
        <f>2.18*(((S33*X33*96485.33*A33)/(8.314*D33))^(1/2))*EXP((((Y33)^2)*O33*96485.33*I33)/(8.314*D33))</f>
        <v>7.975406281134583E-05</v>
      </c>
      <c r="AA33" s="2">
        <f>(L33*4*8.314*D33)/((O33)^2*96485.33^2*0.00785*A33)</f>
        <v>6.389976541897371E-09</v>
      </c>
      <c r="AB33" s="22">
        <f>O33*AA33*0.00785*96485.33</f>
        <v>9.679662226794458E-06</v>
      </c>
      <c r="AC33" s="2">
        <f>(K33*4*8.314*D33)/((O33)^2*96485.33^2*0.00785*A33)</f>
        <v>6.696631193909296E-09</v>
      </c>
      <c r="AD33" s="22">
        <f>O33*AC33*0.00785*96485.33</f>
        <v>1.0144188728932328E-05</v>
      </c>
    </row>
    <row r="34" spans="1:30" ht="15">
      <c r="A34" s="9">
        <v>0.01</v>
      </c>
      <c r="B34" s="3">
        <f>A34^0.5</f>
        <v>0.1</v>
      </c>
      <c r="C34" s="2">
        <v>21.7</v>
      </c>
      <c r="D34" s="3">
        <f>273.15+C34</f>
        <v>294.84999999999997</v>
      </c>
      <c r="E34" s="2">
        <v>1</v>
      </c>
      <c r="F34" s="22">
        <f>(E34*0.1)/(31+E34)</f>
        <v>0.003125</v>
      </c>
      <c r="G34" s="33">
        <v>0.242617898</v>
      </c>
      <c r="H34" s="33">
        <v>0.0996058204</v>
      </c>
      <c r="I34" s="21">
        <f>G34-H34</f>
        <v>0.1430120776</v>
      </c>
      <c r="J34" s="2">
        <f>I34*1000</f>
        <v>143.0120776</v>
      </c>
      <c r="K34" s="33">
        <v>3.4568841099999996E-06</v>
      </c>
      <c r="L34" s="33">
        <v>1.958900995E-06</v>
      </c>
      <c r="M34" s="23">
        <f>K34/L34</f>
        <v>1.7647058829535178</v>
      </c>
      <c r="N34" s="21">
        <f>(G34+H34)/2</f>
        <v>0.1711118592</v>
      </c>
      <c r="O34" s="3">
        <v>2</v>
      </c>
      <c r="P34" s="22">
        <f>K34*D34^(1/2)*8.314^(1/2)/(0.4463*O34*96485.33*0.00785*F34*(O34*A34*96485.33)^(1/2))</f>
        <v>1.8441952871928326E-06</v>
      </c>
      <c r="Q34" s="3">
        <f>P34^2</f>
        <v>3.4010562573042543E-12</v>
      </c>
      <c r="R34" s="22">
        <f>L34*D34^(1/2)*8.314^(1/2)/(0.4463*O34*96485.33*0.00785*F34*(O34*A34*96485.33)^(1/2))</f>
        <v>1.0450439957202819E-06</v>
      </c>
      <c r="S34" s="2">
        <f>R34^2</f>
        <v>1.0921169529910124E-12</v>
      </c>
      <c r="T34" s="3">
        <f>(Q34/S34)^(1/2)</f>
        <v>1.764705882953518</v>
      </c>
      <c r="U34" s="2">
        <f>(O34*96485.33)/(8.314*D34)</f>
        <v>78.71910177720504</v>
      </c>
      <c r="V34" s="31">
        <v>0.124532593</v>
      </c>
      <c r="W34" s="21">
        <f>-(H34-V34)</f>
        <v>0.024926772599999994</v>
      </c>
      <c r="X34" s="3">
        <f>(1.857*8.314*D34)/(W34*96485.33)</f>
        <v>1.8927607336487053</v>
      </c>
      <c r="Y34" s="2">
        <v>0.5</v>
      </c>
      <c r="Z34" s="22">
        <f>2.18*(((S34*X34*96485.33*A34)/(8.314*D34))^(1/2))*EXP((((Y34)^2)*O34*96485.33*I34)/(8.314*D34))</f>
        <v>3.2806671950745965E-05</v>
      </c>
      <c r="AA34" s="2">
        <f>(L34*4*8.314*D34)/((O34)^2*96485.33^2*0.00785*A34)</f>
        <v>6.570999123256231E-09</v>
      </c>
      <c r="AB34" s="22">
        <f>O34*AA34*0.00785*96485.33</f>
        <v>9.953878795742283E-06</v>
      </c>
      <c r="AC34" s="2">
        <f>(K34*4*8.314*D34)/((O34)^2*96485.33^2*0.00785*A34)</f>
        <v>1.1595880809692681E-08</v>
      </c>
      <c r="AD34" s="22">
        <f>O34*AC34*0.00785*96485.33</f>
        <v>1.7565668469052686E-05</v>
      </c>
    </row>
    <row r="40" spans="1:26" ht="23.25">
      <c r="A40" s="15"/>
      <c r="B40" s="15"/>
      <c r="C40" s="15"/>
      <c r="D40" s="15"/>
      <c r="E40" s="15"/>
      <c r="F40" s="15"/>
      <c r="G40" s="15"/>
      <c r="H40" s="54" t="s">
        <v>56</v>
      </c>
      <c r="I40" s="15"/>
      <c r="J40" s="16"/>
      <c r="K40" s="15"/>
      <c r="L40" s="15"/>
      <c r="M40" s="15"/>
      <c r="N40" s="15"/>
      <c r="O40" s="15"/>
      <c r="P40" s="16"/>
      <c r="Q40" s="15"/>
      <c r="R40" s="16"/>
      <c r="S40" s="16"/>
      <c r="T40" s="15"/>
      <c r="U40" s="16"/>
      <c r="V40" s="16"/>
      <c r="W40" s="16"/>
      <c r="X40" s="16"/>
      <c r="Y40" s="15"/>
      <c r="Z40" s="15"/>
    </row>
    <row r="41" spans="1:26" ht="20.25">
      <c r="A41" s="15"/>
      <c r="B41" s="15"/>
      <c r="C41" s="15"/>
      <c r="D41" s="15"/>
      <c r="E41" s="55" t="s">
        <v>55</v>
      </c>
      <c r="F41" s="56"/>
      <c r="G41" s="57"/>
      <c r="H41" s="15" t="s">
        <v>41</v>
      </c>
      <c r="I41" s="15" t="s">
        <v>42</v>
      </c>
      <c r="J41" s="16"/>
      <c r="K41" s="15"/>
      <c r="L41" s="15"/>
      <c r="M41" s="15"/>
      <c r="N41" s="15"/>
      <c r="O41" s="15"/>
      <c r="P41" s="16"/>
      <c r="Q41" s="15"/>
      <c r="R41" s="16"/>
      <c r="S41" s="16"/>
      <c r="T41" s="15"/>
      <c r="U41" s="16"/>
      <c r="V41" s="16"/>
      <c r="W41" s="16"/>
      <c r="X41" s="16"/>
      <c r="Y41" s="15"/>
      <c r="Z41" s="15"/>
    </row>
    <row r="42" spans="1:26" ht="14.25">
      <c r="A42" s="15"/>
      <c r="B42" s="15"/>
      <c r="C42" s="15"/>
      <c r="D42" s="15"/>
      <c r="E42" s="15"/>
      <c r="F42" s="15"/>
      <c r="G42" s="15"/>
      <c r="H42" s="36" t="s">
        <v>43</v>
      </c>
      <c r="I42" s="36" t="s">
        <v>44</v>
      </c>
      <c r="J42" s="16"/>
      <c r="K42" s="15"/>
      <c r="L42" s="15"/>
      <c r="M42" s="15"/>
      <c r="N42" s="15"/>
      <c r="O42" s="15"/>
      <c r="P42" s="16"/>
      <c r="Q42" s="15"/>
      <c r="R42" s="16"/>
      <c r="S42" s="16"/>
      <c r="T42" s="15"/>
      <c r="U42" s="16"/>
      <c r="V42" s="16"/>
      <c r="W42" s="16"/>
      <c r="X42" s="73"/>
      <c r="Y42" s="73"/>
      <c r="Z42" s="73"/>
    </row>
    <row r="43" spans="1:26" ht="15">
      <c r="A43" s="15"/>
      <c r="B43" s="37" t="s">
        <v>13</v>
      </c>
      <c r="C43" s="37" t="s">
        <v>45</v>
      </c>
      <c r="D43" s="1" t="s">
        <v>8</v>
      </c>
      <c r="E43" s="38" t="s">
        <v>14</v>
      </c>
      <c r="F43" s="1" t="s">
        <v>7</v>
      </c>
      <c r="G43" s="1" t="s">
        <v>15</v>
      </c>
      <c r="H43" s="1" t="s">
        <v>46</v>
      </c>
      <c r="I43" s="1" t="s">
        <v>47</v>
      </c>
      <c r="J43" s="39" t="s">
        <v>48</v>
      </c>
      <c r="K43" s="1" t="s">
        <v>20</v>
      </c>
      <c r="L43" s="40" t="s">
        <v>49</v>
      </c>
      <c r="M43" s="40" t="s">
        <v>50</v>
      </c>
      <c r="N43" s="1" t="s">
        <v>51</v>
      </c>
      <c r="O43" s="39" t="s">
        <v>52</v>
      </c>
      <c r="P43" s="39" t="s">
        <v>53</v>
      </c>
      <c r="Q43" s="39" t="s">
        <v>54</v>
      </c>
      <c r="R43" s="39"/>
      <c r="S43" s="39"/>
      <c r="T43" s="39"/>
      <c r="U43" s="15"/>
      <c r="V43" s="41"/>
      <c r="W43" s="42"/>
      <c r="X43" s="43"/>
      <c r="Y43" s="43"/>
      <c r="Z43" s="43"/>
    </row>
    <row r="44" spans="1:26" ht="15">
      <c r="A44" s="15"/>
      <c r="B44" s="2">
        <v>21.7</v>
      </c>
      <c r="C44" s="44">
        <f>273.15+B44</f>
        <v>294.84999999999997</v>
      </c>
      <c r="D44" s="45">
        <v>1</v>
      </c>
      <c r="E44" s="46">
        <f>(D44*0.1)/(30+D44+F44)</f>
        <v>0.0032051282051282055</v>
      </c>
      <c r="F44" s="8">
        <v>0.2</v>
      </c>
      <c r="G44" s="46">
        <f>(F44*0.00016)/(30+D44+F44)</f>
        <v>1.0256410256410259E-06</v>
      </c>
      <c r="H44" s="5">
        <v>0.141789817205</v>
      </c>
      <c r="I44" s="5">
        <v>0.14906511784999998</v>
      </c>
      <c r="J44" s="47">
        <f>I44-H44</f>
        <v>0.007275300644999982</v>
      </c>
      <c r="K44" s="48">
        <v>2</v>
      </c>
      <c r="L44" s="47">
        <f>G44/E44</f>
        <v>0.00032</v>
      </c>
      <c r="M44" s="44">
        <f>LOG(G44)</f>
        <v>-5.989004615698537</v>
      </c>
      <c r="N44" s="44">
        <f>(J44*((K44*96485.33)/(2.303*8.314*C44)))-(M44*L44)</f>
        <v>0.25059435031485205</v>
      </c>
      <c r="O44" s="49">
        <f>10^N44</f>
        <v>1.7807147264469994</v>
      </c>
      <c r="P44" s="47">
        <f>-8.314*C44*2.303*N44</f>
        <v>-1414.7391300720024</v>
      </c>
      <c r="Q44" s="50">
        <f>P44/1000</f>
        <v>-1.4147391300720022</v>
      </c>
      <c r="R44" s="47"/>
      <c r="S44" s="50"/>
      <c r="T44" s="51"/>
      <c r="U44" s="15"/>
      <c r="V44" s="52"/>
      <c r="W44" s="22"/>
      <c r="X44" s="53"/>
      <c r="Y44" s="53"/>
      <c r="Z44" s="53"/>
    </row>
    <row r="45" spans="1:26" ht="15">
      <c r="A45" s="15"/>
      <c r="B45" s="2">
        <v>21.7</v>
      </c>
      <c r="C45" s="44">
        <f>273.15+B45</f>
        <v>294.84999999999997</v>
      </c>
      <c r="D45" s="45">
        <v>1</v>
      </c>
      <c r="E45" s="46">
        <f>(D45*0.1)/(30+D45+F45)</f>
        <v>0.0031847133757961785</v>
      </c>
      <c r="F45" s="8">
        <v>0.4</v>
      </c>
      <c r="G45" s="46">
        <f>(F45*0.00016)/(30+D45+F45)</f>
        <v>2.0382165605095544E-06</v>
      </c>
      <c r="H45" s="5">
        <v>0.141789817205</v>
      </c>
      <c r="I45" s="5">
        <v>0.14842771795</v>
      </c>
      <c r="J45" s="47">
        <f>I45-H45</f>
        <v>0.006637900745000008</v>
      </c>
      <c r="K45" s="48">
        <v>2</v>
      </c>
      <c r="L45" s="47">
        <f>G45/E45</f>
        <v>0.00064</v>
      </c>
      <c r="M45" s="44">
        <f>LOG(G45)</f>
        <v>-5.690749674089328</v>
      </c>
      <c r="N45" s="44">
        <f>(J45*((K45*96485.33)/(2.303*8.314*C45)))-(M45*L45)</f>
        <v>0.23053291102573797</v>
      </c>
      <c r="O45" s="49">
        <f>10^N45</f>
        <v>1.7003288004202444</v>
      </c>
      <c r="P45" s="47">
        <f>-8.314*C45*2.303*N45</f>
        <v>-1301.4815760520726</v>
      </c>
      <c r="Q45" s="50">
        <f>P45/1000</f>
        <v>-1.3014815760520726</v>
      </c>
      <c r="R45" s="44"/>
      <c r="S45" s="50"/>
      <c r="T45" s="51"/>
      <c r="U45" s="15"/>
      <c r="V45" s="52"/>
      <c r="W45" s="22"/>
      <c r="X45" s="53"/>
      <c r="Y45" s="53"/>
      <c r="Z45" s="53"/>
    </row>
    <row r="46" spans="1:26" ht="15">
      <c r="A46" s="15"/>
      <c r="B46" s="2">
        <v>21.7</v>
      </c>
      <c r="C46" s="44">
        <f>273.15+B46</f>
        <v>294.84999999999997</v>
      </c>
      <c r="D46" s="45">
        <v>1</v>
      </c>
      <c r="E46" s="46">
        <f>(D46*0.1)/(30+D46+F46)</f>
        <v>0.0031645569620253164</v>
      </c>
      <c r="F46" s="8">
        <v>0.6</v>
      </c>
      <c r="G46" s="46">
        <f>(F46*0.00016)/(30+D46+F46)</f>
        <v>3.037974683544304E-06</v>
      </c>
      <c r="H46" s="5">
        <v>0.141789817205</v>
      </c>
      <c r="I46" s="5">
        <v>0.14626690485</v>
      </c>
      <c r="J46" s="47">
        <f>I46-H46</f>
        <v>0.004477087644999989</v>
      </c>
      <c r="K46" s="48">
        <v>2</v>
      </c>
      <c r="L46" s="47">
        <f>G46/E46</f>
        <v>0.00096</v>
      </c>
      <c r="M46" s="44">
        <f>LOG(G46)</f>
        <v>-5.5174158495788355</v>
      </c>
      <c r="N46" s="44">
        <f>(J46*((K46*96485.33)/(2.303*8.314*C46)))-(M46*L46)</f>
        <v>0.15832855507847945</v>
      </c>
      <c r="O46" s="49">
        <f>10^N46</f>
        <v>1.4398874786651885</v>
      </c>
      <c r="P46" s="47">
        <f>-8.314*C46*2.303*N46</f>
        <v>-893.8493704900163</v>
      </c>
      <c r="Q46" s="50">
        <f>P46/1000</f>
        <v>-0.8938493704900163</v>
      </c>
      <c r="R46" s="44"/>
      <c r="S46" s="50"/>
      <c r="T46" s="51"/>
      <c r="U46" s="15"/>
      <c r="V46" s="52"/>
      <c r="W46" s="22"/>
      <c r="X46" s="53"/>
      <c r="Y46" s="53"/>
      <c r="Z46" s="53"/>
    </row>
    <row r="47" spans="1:26" ht="15">
      <c r="A47" s="15"/>
      <c r="B47" s="2">
        <v>21.7</v>
      </c>
      <c r="C47" s="44">
        <f>273.15+B47</f>
        <v>294.84999999999997</v>
      </c>
      <c r="D47" s="45">
        <v>1</v>
      </c>
      <c r="E47" s="46">
        <f>(D47*0.1)/(30+D47+F47)</f>
        <v>0.0031446540880503146</v>
      </c>
      <c r="F47" s="8">
        <v>0.8</v>
      </c>
      <c r="G47" s="46">
        <f>(F47*0.00016)/(30+D47+F47)</f>
        <v>4.0251572327044035E-06</v>
      </c>
      <c r="H47" s="5">
        <v>0.141789817205</v>
      </c>
      <c r="I47" s="5">
        <v>0.15084115295</v>
      </c>
      <c r="J47" s="47">
        <f>I47-H47</f>
        <v>0.009051335745</v>
      </c>
      <c r="K47" s="48">
        <v>2</v>
      </c>
      <c r="L47" s="47">
        <f>G47/E47</f>
        <v>0.0012800000000000003</v>
      </c>
      <c r="M47" s="44">
        <f>LOG(G47)</f>
        <v>-5.395217150336564</v>
      </c>
      <c r="N47" s="44">
        <f>(J47*((K47*96485.33)/(2.303*8.314*C47)))-(M47*L47)</f>
        <v>0.31629060210801435</v>
      </c>
      <c r="O47" s="49">
        <f>10^N47</f>
        <v>2.0715270186113</v>
      </c>
      <c r="P47" s="47">
        <f>-8.314*C47*2.303*N47</f>
        <v>-1785.6296070283825</v>
      </c>
      <c r="Q47" s="50">
        <f>P47/1000</f>
        <v>-1.7856296070283824</v>
      </c>
      <c r="R47" s="44"/>
      <c r="S47" s="50"/>
      <c r="T47" s="51"/>
      <c r="U47" s="15"/>
      <c r="V47" s="52"/>
      <c r="W47" s="22"/>
      <c r="X47" s="53"/>
      <c r="Y47" s="53"/>
      <c r="Z47" s="53"/>
    </row>
    <row r="48" spans="1:26" ht="15">
      <c r="A48" s="15"/>
      <c r="B48" s="2">
        <v>21.7</v>
      </c>
      <c r="C48" s="44">
        <f>273.15+B48</f>
        <v>294.84999999999997</v>
      </c>
      <c r="D48" s="45">
        <v>1</v>
      </c>
      <c r="E48" s="46">
        <f>(D48*0.1)/(30+D48+F48)</f>
        <v>0.003125</v>
      </c>
      <c r="F48" s="8">
        <v>1</v>
      </c>
      <c r="G48" s="46">
        <f>(F48*0.00016)/(30+D48+F48)</f>
        <v>5E-06</v>
      </c>
      <c r="H48" s="5">
        <v>0.141789817205</v>
      </c>
      <c r="I48" s="5">
        <v>0.15445226231499998</v>
      </c>
      <c r="J48" s="47">
        <f>I48-H48</f>
        <v>0.012662445109999976</v>
      </c>
      <c r="K48" s="48">
        <v>2</v>
      </c>
      <c r="L48" s="47">
        <f>G48/E48</f>
        <v>0.0016</v>
      </c>
      <c r="M48" s="44">
        <f>LOG(G48)</f>
        <v>-5.301029995663981</v>
      </c>
      <c r="N48" s="44">
        <f>(J48*((K48*96485.33)/(2.303*8.314*C48)))-(M48*L48)</f>
        <v>0.4412981071169705</v>
      </c>
      <c r="O48" s="49">
        <f>10^N48</f>
        <v>2.7624734142979808</v>
      </c>
      <c r="P48" s="47">
        <f>-8.314*C48*2.303*N48</f>
        <v>-2491.363829155259</v>
      </c>
      <c r="Q48" s="50">
        <f>P48/1000</f>
        <v>-2.491363829155259</v>
      </c>
      <c r="R48" s="44"/>
      <c r="S48" s="50"/>
      <c r="T48" s="51"/>
      <c r="U48" s="15"/>
      <c r="V48" s="52"/>
      <c r="W48" s="22"/>
      <c r="X48" s="53"/>
      <c r="Y48" s="53"/>
      <c r="Z48" s="53"/>
    </row>
    <row r="49" spans="1:26" ht="14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6"/>
      <c r="W49" s="16"/>
      <c r="X49" s="16"/>
      <c r="Y49" s="16"/>
      <c r="Z49" s="16"/>
    </row>
    <row r="54" ht="27.75">
      <c r="G54" s="63" t="s">
        <v>57</v>
      </c>
    </row>
    <row r="57" spans="1:31" ht="18">
      <c r="A57" s="15"/>
      <c r="B57" s="15"/>
      <c r="C57" s="15"/>
      <c r="D57" s="15"/>
      <c r="E57" s="15"/>
      <c r="F57" s="15"/>
      <c r="G57" s="15"/>
      <c r="H57" s="69" t="s">
        <v>9</v>
      </c>
      <c r="I57" s="69"/>
      <c r="J57" s="70"/>
      <c r="K57" s="15"/>
      <c r="L57" s="71" t="s">
        <v>10</v>
      </c>
      <c r="M57" s="72"/>
      <c r="N57" s="15"/>
      <c r="O57" s="3" t="s">
        <v>11</v>
      </c>
      <c r="P57" s="18"/>
      <c r="Q57" s="15"/>
      <c r="R57" s="16"/>
      <c r="S57" s="16"/>
      <c r="T57" s="15"/>
      <c r="U57" s="16"/>
      <c r="V57" s="16"/>
      <c r="W57" s="16"/>
      <c r="X57" s="16"/>
      <c r="Y57" s="15"/>
      <c r="Z57" s="15"/>
      <c r="AA57" s="15"/>
      <c r="AB57" s="16"/>
      <c r="AC57" s="1" t="s">
        <v>12</v>
      </c>
      <c r="AD57" s="16"/>
      <c r="AE57" s="15"/>
    </row>
    <row r="58" spans="1:31" ht="18.75">
      <c r="A58" s="1" t="s">
        <v>0</v>
      </c>
      <c r="B58" s="1" t="s">
        <v>13</v>
      </c>
      <c r="C58" s="1" t="s">
        <v>13</v>
      </c>
      <c r="D58" s="1" t="s">
        <v>1</v>
      </c>
      <c r="E58" s="1" t="s">
        <v>14</v>
      </c>
      <c r="F58" s="6" t="s">
        <v>7</v>
      </c>
      <c r="G58" s="6" t="s">
        <v>15</v>
      </c>
      <c r="H58" s="1" t="s">
        <v>2</v>
      </c>
      <c r="I58" s="1" t="s">
        <v>3</v>
      </c>
      <c r="J58" s="1" t="s">
        <v>16</v>
      </c>
      <c r="K58" s="1" t="s">
        <v>17</v>
      </c>
      <c r="L58" s="1" t="s">
        <v>4</v>
      </c>
      <c r="M58" s="1" t="s">
        <v>5</v>
      </c>
      <c r="N58" s="1" t="s">
        <v>18</v>
      </c>
      <c r="O58" s="1" t="s">
        <v>19</v>
      </c>
      <c r="P58" s="1" t="s">
        <v>20</v>
      </c>
      <c r="Q58" s="1" t="s">
        <v>21</v>
      </c>
      <c r="R58" s="1" t="s">
        <v>22</v>
      </c>
      <c r="S58" s="1" t="s">
        <v>23</v>
      </c>
      <c r="T58" s="1" t="s">
        <v>24</v>
      </c>
      <c r="U58" s="1" t="s">
        <v>25</v>
      </c>
      <c r="V58" s="1" t="s">
        <v>26</v>
      </c>
      <c r="W58" s="1" t="s">
        <v>6</v>
      </c>
      <c r="X58" s="1" t="s">
        <v>27</v>
      </c>
      <c r="Y58" s="1" t="s">
        <v>28</v>
      </c>
      <c r="Z58" s="1" t="s">
        <v>29</v>
      </c>
      <c r="AA58" s="1" t="s">
        <v>30</v>
      </c>
      <c r="AB58" s="1" t="s">
        <v>31</v>
      </c>
      <c r="AC58" s="1" t="s">
        <v>32</v>
      </c>
      <c r="AD58" s="1" t="s">
        <v>33</v>
      </c>
      <c r="AE58" s="1" t="s">
        <v>34</v>
      </c>
    </row>
    <row r="59" spans="1:31" ht="15">
      <c r="A59" s="2">
        <v>0.1</v>
      </c>
      <c r="B59" s="14">
        <v>21.7</v>
      </c>
      <c r="C59" s="19">
        <f>273.15+B59</f>
        <v>294.84999999999997</v>
      </c>
      <c r="D59" s="29">
        <v>0</v>
      </c>
      <c r="E59" s="67">
        <v>0</v>
      </c>
      <c r="F59" s="64">
        <v>0</v>
      </c>
      <c r="G59" s="64">
        <v>0</v>
      </c>
      <c r="H59" s="12">
        <v>1.16227664</v>
      </c>
      <c r="I59" s="11">
        <v>0.767052917</v>
      </c>
      <c r="J59" s="21">
        <f>H59-I59</f>
        <v>0.39522372299999997</v>
      </c>
      <c r="K59" s="21">
        <f>J59*1000</f>
        <v>395.22372299999995</v>
      </c>
      <c r="L59" s="12">
        <v>4.307761889999999E-06</v>
      </c>
      <c r="M59" s="12">
        <v>6.295959676E-06</v>
      </c>
      <c r="N59" s="21">
        <f>L59/M59</f>
        <v>0.6842105273356581</v>
      </c>
      <c r="O59" s="58">
        <f>(H59+I59)/2</f>
        <v>0.9646647785</v>
      </c>
      <c r="P59" s="2">
        <v>2</v>
      </c>
      <c r="Q59" s="22">
        <v>0</v>
      </c>
      <c r="R59" s="23">
        <f>Q59^2</f>
        <v>0</v>
      </c>
      <c r="S59" s="21">
        <v>0</v>
      </c>
      <c r="T59" s="22">
        <f>S59^2</f>
        <v>0</v>
      </c>
      <c r="U59" s="3">
        <v>0</v>
      </c>
      <c r="V59" s="2">
        <f>(P59*96485.33)/(8.314*C59)</f>
        <v>78.71910177720504</v>
      </c>
      <c r="W59" s="11">
        <v>0.825604579</v>
      </c>
      <c r="X59" s="23">
        <f>-(I59-W59)</f>
        <v>0.05855166199999995</v>
      </c>
      <c r="Y59" s="2">
        <f>(1.857*8.314*C59)/(X59*96485.33)</f>
        <v>0.8057912411413782</v>
      </c>
      <c r="Z59" s="2">
        <v>0.5</v>
      </c>
      <c r="AA59" s="22">
        <f>2.18*(((T59*Y59*96485.33*A59)/(8.314*C59))^(1/2))*EXP((((Z59)^2)*P59*96485.33*J59)/(8.314*C59))</f>
        <v>0</v>
      </c>
      <c r="AB59" s="2">
        <f>(M59*4*8.314*C59)/((P59)^2*(96485.33^2)*0.00785*A59)</f>
        <v>2.1119365203575586E-09</v>
      </c>
      <c r="AC59" s="22">
        <f>P59*AB59*0.00785*96485.33</f>
        <v>3.1992030060602866E-06</v>
      </c>
      <c r="AD59" s="2">
        <f>(L59*4*8.314*C59)/((P59)^2*96485.33^2*0.00785*A59)</f>
        <v>1.4450092002932799E-09</v>
      </c>
      <c r="AE59" s="22">
        <f>P59*AD59*0.00785*96485.33</f>
        <v>2.188928375830331E-06</v>
      </c>
    </row>
    <row r="60" spans="1:31" ht="15">
      <c r="A60" s="2">
        <v>0.1</v>
      </c>
      <c r="B60" s="14">
        <v>21.7</v>
      </c>
      <c r="C60" s="19">
        <f>273.15+B60</f>
        <v>294.84999999999997</v>
      </c>
      <c r="D60" s="29">
        <v>1</v>
      </c>
      <c r="E60" s="59">
        <f>(D60*0.1)/(30+D60)</f>
        <v>0.0032258064516129032</v>
      </c>
      <c r="F60" s="64">
        <v>0</v>
      </c>
      <c r="G60" s="64">
        <v>0</v>
      </c>
      <c r="H60" s="12">
        <v>1.14633763</v>
      </c>
      <c r="I60" s="13">
        <v>0.595513355</v>
      </c>
      <c r="J60" s="21">
        <f>H60-I60</f>
        <v>0.5508242750000001</v>
      </c>
      <c r="K60" s="21">
        <f>J60*1000</f>
        <v>550.8242750000001</v>
      </c>
      <c r="L60" s="12">
        <v>1.2929153409999999E-05</v>
      </c>
      <c r="M60" s="12">
        <v>6.2744420900000004E-06</v>
      </c>
      <c r="N60" s="21">
        <f>L60/M60</f>
        <v>2.0606060625861953</v>
      </c>
      <c r="O60" s="58">
        <f>(H60+I60)/2</f>
        <v>0.8709254925000001</v>
      </c>
      <c r="P60" s="2">
        <v>2</v>
      </c>
      <c r="Q60" s="22">
        <f>L60*C60^(1/2)*8.314^(1/2)/(0.4463*P60*96485.33*0.00785*E60*(P60*A60*96485.33)^(1/2))</f>
        <v>2.1130213813081183E-06</v>
      </c>
      <c r="R60" s="23">
        <f>Q60^2</f>
        <v>4.464859357865268E-12</v>
      </c>
      <c r="S60" s="21">
        <f>M60*C60^(1/2)*8.314^(1/2)/(0.4463*P60*96485.33*0.00785*E60*(P60*A60*96485.33)^(1/2))</f>
        <v>1.0254368458259017E-06</v>
      </c>
      <c r="T60" s="22">
        <f>S60^2</f>
        <v>1.051520724777374E-12</v>
      </c>
      <c r="U60" s="3">
        <f>(R60/T60)^(1/2)</f>
        <v>2.060606062586195</v>
      </c>
      <c r="V60" s="2">
        <f>(P60*96485.33)/(8.314*C60)</f>
        <v>78.71910177720504</v>
      </c>
      <c r="W60" s="62">
        <v>0.704323725</v>
      </c>
      <c r="X60" s="23">
        <f>-(I60-W60)</f>
        <v>0.10881036999999993</v>
      </c>
      <c r="Y60" s="2">
        <f>(1.857*8.314*C60)/(X60*96485.33)</f>
        <v>0.43360220532170296</v>
      </c>
      <c r="Z60" s="2">
        <v>0.5</v>
      </c>
      <c r="AA60" s="22">
        <f>2.18*(((T60*Y60*96485.33*A60)/(8.314*C60))^(1/2))*EXP((((Z60)^2)*P60*96485.33*J60)/(8.314*C60))</f>
        <v>0.1490153416776769</v>
      </c>
      <c r="AB60" s="2">
        <f>(M60*4*8.314*C60)/((P60)^2*(96485.33^2)*0.00785*A60)</f>
        <v>2.1047185936169277E-09</v>
      </c>
      <c r="AC60" s="22">
        <f>P60*AB60*0.00785*96485.33</f>
        <v>3.188269148577563E-06</v>
      </c>
      <c r="AD60" s="2">
        <f>(L60*4*8.314*C60)/((P60)^2*96485.33^2*0.00785*A60)</f>
        <v>4.336995894044931E-09</v>
      </c>
      <c r="AE60" s="22">
        <f>P60*AD60*0.00785*96485.33</f>
        <v>6.569766736715453E-06</v>
      </c>
    </row>
    <row r="61" spans="1:31" ht="15">
      <c r="A61" s="2">
        <v>0.1</v>
      </c>
      <c r="B61" s="14">
        <v>21.7</v>
      </c>
      <c r="C61" s="19">
        <f>273.15+B61</f>
        <v>294.84999999999997</v>
      </c>
      <c r="D61" s="29">
        <v>1</v>
      </c>
      <c r="E61" s="59">
        <f>(D61*0.1)/(30+D61+F61)</f>
        <v>0.003125</v>
      </c>
      <c r="F61" s="65">
        <v>1</v>
      </c>
      <c r="G61" s="66">
        <f>(F61*0.00016)/(30+D61+F61)</f>
        <v>5E-06</v>
      </c>
      <c r="H61" s="13">
        <v>1.12775193</v>
      </c>
      <c r="I61" s="13">
        <v>0.584324939</v>
      </c>
      <c r="J61" s="21">
        <f>H61-I61</f>
        <v>0.543426991</v>
      </c>
      <c r="K61" s="21">
        <f>J61*1000</f>
        <v>543.426991</v>
      </c>
      <c r="L61" s="11">
        <v>1.12813274E-05</v>
      </c>
      <c r="M61" s="11">
        <v>6.5084581E-06</v>
      </c>
      <c r="N61" s="21">
        <f>L61/M61</f>
        <v>1.733333337430566</v>
      </c>
      <c r="O61" s="58">
        <f>(H61+I61)/2</f>
        <v>0.8560384345000001</v>
      </c>
      <c r="P61" s="2">
        <v>2</v>
      </c>
      <c r="Q61" s="22">
        <f>L61*C61^(1/2)*8.314^(1/2)/(0.4463*P61*96485.33*0.00785*E61*(P61*A61*96485.33)^(1/2))</f>
        <v>1.903190629619532E-06</v>
      </c>
      <c r="R61" s="23">
        <f>Q61^2</f>
        <v>3.6221345726715906E-12</v>
      </c>
      <c r="S61" s="21">
        <f>M61*C61^(1/2)*8.314^(1/2)/(0.4463*P61*96485.33*0.00785*E61*(P61*A61*96485.33)^(1/2))</f>
        <v>1.097994591415842E-06</v>
      </c>
      <c r="T61" s="22">
        <f>S61^2</f>
        <v>1.2055921227784418E-12</v>
      </c>
      <c r="U61" s="3">
        <f>(R61/T61)^(1/2)</f>
        <v>1.733333337430566</v>
      </c>
      <c r="V61" s="2">
        <f>(P61*96485.33)/(8.314*C61)</f>
        <v>78.71910177720504</v>
      </c>
      <c r="W61" s="61">
        <v>0.699656567</v>
      </c>
      <c r="X61" s="23">
        <f>-(I61-W61)</f>
        <v>0.11533162799999996</v>
      </c>
      <c r="Y61" s="2">
        <f>(1.857*8.314*C61)/(X61*96485.33)</f>
        <v>0.40908480364007743</v>
      </c>
      <c r="Z61" s="2">
        <v>0.5</v>
      </c>
      <c r="AA61" s="22">
        <f>2.18*(((T61*Y61*96485.33*A61)/(8.314*C61))^(1/2))*EXP((((Z61)^2)*P61*96485.33*J61)/(8.314*C61))</f>
        <v>0.13398616554215895</v>
      </c>
      <c r="AB61" s="2">
        <f>(M61*4*8.314*C61)/((P61)^2*(96485.33^2)*0.00785*A61)</f>
        <v>2.183217660209005E-09</v>
      </c>
      <c r="AC61" s="22">
        <f>P61*AB61*0.00785*96485.33</f>
        <v>3.307181079591371E-06</v>
      </c>
      <c r="AD61" s="2">
        <f>(L61*4*8.314*C61)/((P61)^2*96485.33^2*0.00785*A61)</f>
        <v>3.7842439533074264E-09</v>
      </c>
      <c r="AE61" s="22">
        <f>P61*AD61*0.00785*96485.33</f>
        <v>5.732447218175334E-06</v>
      </c>
    </row>
    <row r="62" spans="1:31" ht="14.25">
      <c r="A62" s="15"/>
      <c r="B62" s="15"/>
      <c r="C62" s="15"/>
      <c r="D62" s="15"/>
      <c r="E62" s="15"/>
      <c r="F62" s="15"/>
      <c r="G62" s="15"/>
      <c r="H62" s="16"/>
      <c r="I62" s="15"/>
      <c r="J62" s="24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5"/>
      <c r="Z62" s="15"/>
      <c r="AA62" s="15"/>
      <c r="AB62" s="16"/>
      <c r="AC62" s="16"/>
      <c r="AD62" s="16"/>
      <c r="AE62" s="16"/>
    </row>
  </sheetData>
  <sheetProtection/>
  <mergeCells count="5">
    <mergeCell ref="H2:J2"/>
    <mergeCell ref="L2:M2"/>
    <mergeCell ref="X42:Z42"/>
    <mergeCell ref="H57:J57"/>
    <mergeCell ref="L57:M5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2018-11-18T01:14:55Z</dcterms:modified>
  <cp:category/>
  <cp:version/>
  <cp:contentType/>
  <cp:contentStatus/>
</cp:coreProperties>
</file>